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mc:AlternateContent xmlns:mc="http://schemas.openxmlformats.org/markup-compatibility/2006">
    <mc:Choice Requires="x15">
      <x15ac:absPath xmlns:x15ac="http://schemas.microsoft.com/office/spreadsheetml/2010/11/ac" url="C:\Users\micro\Kegeln\KSK Rivalen Hannover\Bundesliga\2025-26\"/>
    </mc:Choice>
  </mc:AlternateContent>
  <bookViews>
    <workbookView xWindow="0" yWindow="0" windowWidth="23040" windowHeight="9075" firstSheet="2" activeTab="3"/>
  </bookViews>
  <sheets>
    <sheet name="Spielplan" sheetId="1" state="veryHidden" r:id="rId1"/>
    <sheet name="Einzelwertung" sheetId="8" state="veryHidden" r:id="rId2"/>
    <sheet name="Erläuterungen" sheetId="3" r:id="rId3"/>
    <sheet name="Formular" sheetId="7" r:id="rId4"/>
  </sheets>
  <definedNames>
    <definedName name="Auswahl">Formular!$AN$58:$AN$59</definedName>
    <definedName name="Bundesliga_Herren">Spielplan!$A$100:$E$240</definedName>
    <definedName name="_xlnm.Print_Area" localSheetId="3">Formular!$C$2:$AK$58</definedName>
    <definedName name="Spielbahnen" localSheetId="3">Formular!$AN$61:$AN$75</definedName>
  </definedNames>
  <calcPr calcId="162913" calcOnSave="0"/>
</workbook>
</file>

<file path=xl/calcChain.xml><?xml version="1.0" encoding="utf-8"?>
<calcChain xmlns="http://schemas.openxmlformats.org/spreadsheetml/2006/main">
  <c r="E462" i="1" l="1"/>
  <c r="E461" i="1"/>
  <c r="E460" i="1"/>
  <c r="E459" i="1"/>
  <c r="C462" i="1"/>
  <c r="C461" i="1"/>
  <c r="C460" i="1"/>
  <c r="C459" i="1"/>
  <c r="E457" i="1"/>
  <c r="E456" i="1"/>
  <c r="E455" i="1"/>
  <c r="E454" i="1"/>
  <c r="C457" i="1"/>
  <c r="C456" i="1"/>
  <c r="C455" i="1"/>
  <c r="C454" i="1"/>
  <c r="E452" i="1"/>
  <c r="E451" i="1"/>
  <c r="E450" i="1"/>
  <c r="E449" i="1"/>
  <c r="C452" i="1"/>
  <c r="C451" i="1"/>
  <c r="C450" i="1"/>
  <c r="C449" i="1"/>
  <c r="E447" i="1"/>
  <c r="E446" i="1"/>
  <c r="E445" i="1"/>
  <c r="E444" i="1"/>
  <c r="C447" i="1"/>
  <c r="C446" i="1"/>
  <c r="C445" i="1"/>
  <c r="C444" i="1"/>
  <c r="E442" i="1"/>
  <c r="E441" i="1"/>
  <c r="E440" i="1"/>
  <c r="E439" i="1"/>
  <c r="C442" i="1"/>
  <c r="C441" i="1"/>
  <c r="C440" i="1"/>
  <c r="C439" i="1"/>
  <c r="E437" i="1"/>
  <c r="E436" i="1"/>
  <c r="E435" i="1"/>
  <c r="E434" i="1"/>
  <c r="C437" i="1"/>
  <c r="C436" i="1"/>
  <c r="C435" i="1"/>
  <c r="C434" i="1"/>
  <c r="E422" i="1"/>
  <c r="E421" i="1"/>
  <c r="E420" i="1"/>
  <c r="E419" i="1"/>
  <c r="C422" i="1"/>
  <c r="C421" i="1"/>
  <c r="C420" i="1"/>
  <c r="C419" i="1"/>
  <c r="E417" i="1"/>
  <c r="E416" i="1"/>
  <c r="E415" i="1"/>
  <c r="E414" i="1"/>
  <c r="C417" i="1"/>
  <c r="C416" i="1"/>
  <c r="C415" i="1"/>
  <c r="C414" i="1"/>
  <c r="E392" i="1"/>
  <c r="E391" i="1"/>
  <c r="E390" i="1"/>
  <c r="E389" i="1"/>
  <c r="C392" i="1"/>
  <c r="C391" i="1"/>
  <c r="C390" i="1"/>
  <c r="C389" i="1"/>
  <c r="E387" i="1"/>
  <c r="E386" i="1"/>
  <c r="E385" i="1"/>
  <c r="E384" i="1"/>
  <c r="C387" i="1"/>
  <c r="C386" i="1"/>
  <c r="C385" i="1"/>
  <c r="C384" i="1"/>
  <c r="E382" i="1"/>
  <c r="E381" i="1"/>
  <c r="E380" i="1"/>
  <c r="E379" i="1"/>
  <c r="C382" i="1"/>
  <c r="C381" i="1"/>
  <c r="C380" i="1"/>
  <c r="C379" i="1"/>
  <c r="E377" i="1"/>
  <c r="E376" i="1"/>
  <c r="E375" i="1"/>
  <c r="E374" i="1"/>
  <c r="C377" i="1"/>
  <c r="C376" i="1"/>
  <c r="C375" i="1"/>
  <c r="C374" i="1"/>
  <c r="E372" i="1"/>
  <c r="E371" i="1"/>
  <c r="E370" i="1"/>
  <c r="E369" i="1"/>
  <c r="C372" i="1"/>
  <c r="C371" i="1"/>
  <c r="C370" i="1"/>
  <c r="C369" i="1"/>
  <c r="E367" i="1"/>
  <c r="E366" i="1"/>
  <c r="E365" i="1"/>
  <c r="E364" i="1"/>
  <c r="C367" i="1"/>
  <c r="C366" i="1"/>
  <c r="C365" i="1"/>
  <c r="C364" i="1"/>
  <c r="E352" i="1"/>
  <c r="E351" i="1"/>
  <c r="E350" i="1"/>
  <c r="E349" i="1"/>
  <c r="C352" i="1"/>
  <c r="C351" i="1"/>
  <c r="C350" i="1"/>
  <c r="C349" i="1"/>
  <c r="E347" i="1"/>
  <c r="E346" i="1"/>
  <c r="E345" i="1"/>
  <c r="E344" i="1"/>
  <c r="E340" i="1"/>
  <c r="E339" i="1"/>
  <c r="C347" i="1"/>
  <c r="C346" i="1"/>
  <c r="C345" i="1"/>
  <c r="C344" i="1"/>
  <c r="E322" i="1"/>
  <c r="E321" i="1"/>
  <c r="E320" i="1"/>
  <c r="E319" i="1"/>
  <c r="C322" i="1"/>
  <c r="C321" i="1"/>
  <c r="C320" i="1"/>
  <c r="C319" i="1"/>
  <c r="E317" i="1"/>
  <c r="E316" i="1"/>
  <c r="E315" i="1"/>
  <c r="E314" i="1"/>
  <c r="C317" i="1"/>
  <c r="C316" i="1"/>
  <c r="C315" i="1"/>
  <c r="C314" i="1"/>
  <c r="E312" i="1"/>
  <c r="E311" i="1"/>
  <c r="E310" i="1"/>
  <c r="E309" i="1"/>
  <c r="C312" i="1"/>
  <c r="C311" i="1"/>
  <c r="C310" i="1"/>
  <c r="C309" i="1"/>
  <c r="E307" i="1"/>
  <c r="E306" i="1"/>
  <c r="E305" i="1"/>
  <c r="E304" i="1"/>
  <c r="C307" i="1"/>
  <c r="C306" i="1"/>
  <c r="C305" i="1"/>
  <c r="C304" i="1"/>
  <c r="E302" i="1"/>
  <c r="E301" i="1"/>
  <c r="E300" i="1"/>
  <c r="E299" i="1"/>
  <c r="C302" i="1"/>
  <c r="C301" i="1"/>
  <c r="C300" i="1"/>
  <c r="C299" i="1"/>
  <c r="E297" i="1"/>
  <c r="E296" i="1"/>
  <c r="E295" i="1"/>
  <c r="E294" i="1"/>
  <c r="C297" i="1"/>
  <c r="C296" i="1"/>
  <c r="C295" i="1"/>
  <c r="C294" i="1"/>
  <c r="E287" i="1"/>
  <c r="E286" i="1"/>
  <c r="E285" i="1"/>
  <c r="E284" i="1"/>
  <c r="E292" i="1"/>
  <c r="E291" i="1"/>
  <c r="E290" i="1"/>
  <c r="E289" i="1"/>
  <c r="C292" i="1"/>
  <c r="C291" i="1"/>
  <c r="C290" i="1"/>
  <c r="C289" i="1"/>
  <c r="C286" i="1"/>
  <c r="C287" i="1"/>
  <c r="C284" i="1"/>
  <c r="C285" i="1"/>
  <c r="E282" i="1"/>
  <c r="E280" i="1"/>
  <c r="E279" i="1"/>
  <c r="C281" i="1"/>
  <c r="C282" i="1"/>
  <c r="C279" i="1"/>
  <c r="E277" i="1"/>
  <c r="E276" i="1"/>
  <c r="E275" i="1"/>
  <c r="C276" i="1"/>
  <c r="C277" i="1"/>
  <c r="C275" i="1"/>
  <c r="C274" i="1"/>
  <c r="E272" i="1"/>
  <c r="E271" i="1"/>
  <c r="E270" i="1"/>
  <c r="E269" i="1"/>
  <c r="C272" i="1"/>
  <c r="C271" i="1"/>
  <c r="C270" i="1"/>
  <c r="E267" i="1"/>
  <c r="E266" i="1"/>
  <c r="E265" i="1"/>
  <c r="E264" i="1"/>
  <c r="C267" i="1"/>
  <c r="C266" i="1"/>
  <c r="C265" i="1"/>
  <c r="E262" i="1"/>
  <c r="E261" i="1"/>
  <c r="E260" i="1"/>
  <c r="E259" i="1"/>
  <c r="C262" i="1"/>
  <c r="C261" i="1"/>
  <c r="C260" i="1"/>
  <c r="C259" i="1"/>
  <c r="E257" i="1"/>
  <c r="E256" i="1"/>
  <c r="C256" i="1"/>
  <c r="E255" i="1"/>
  <c r="C255" i="1"/>
  <c r="C254" i="1"/>
  <c r="E224" i="1" l="1"/>
  <c r="E223" i="1"/>
  <c r="E222" i="1"/>
  <c r="E221" i="1"/>
  <c r="E220" i="1"/>
  <c r="E219" i="1"/>
  <c r="C224" i="1"/>
  <c r="C223" i="1"/>
  <c r="C222" i="1"/>
  <c r="C221" i="1"/>
  <c r="C220" i="1"/>
  <c r="C219" i="1"/>
  <c r="E217" i="1"/>
  <c r="E216" i="1"/>
  <c r="E215" i="1"/>
  <c r="E214" i="1"/>
  <c r="E213" i="1"/>
  <c r="E212" i="1"/>
  <c r="C217" i="1"/>
  <c r="C216" i="1"/>
  <c r="C215" i="1"/>
  <c r="C214" i="1"/>
  <c r="C213" i="1"/>
  <c r="C212" i="1"/>
  <c r="E210" i="1"/>
  <c r="E209" i="1"/>
  <c r="E208" i="1"/>
  <c r="E207" i="1"/>
  <c r="E206" i="1"/>
  <c r="E205" i="1"/>
  <c r="C210" i="1"/>
  <c r="C209" i="1"/>
  <c r="C208" i="1"/>
  <c r="C207" i="1"/>
  <c r="C206" i="1"/>
  <c r="C205" i="1"/>
  <c r="E203" i="1"/>
  <c r="E202" i="1"/>
  <c r="E201" i="1"/>
  <c r="E200" i="1"/>
  <c r="E199" i="1"/>
  <c r="E198" i="1"/>
  <c r="C203" i="1"/>
  <c r="C202" i="1"/>
  <c r="C201" i="1"/>
  <c r="C200" i="1"/>
  <c r="C199" i="1"/>
  <c r="C198" i="1"/>
  <c r="E196" i="1"/>
  <c r="E195" i="1"/>
  <c r="E194" i="1"/>
  <c r="E193" i="1"/>
  <c r="E192" i="1"/>
  <c r="E191" i="1"/>
  <c r="C196" i="1"/>
  <c r="C195" i="1"/>
  <c r="C194" i="1"/>
  <c r="C193" i="1"/>
  <c r="C192" i="1"/>
  <c r="C191" i="1"/>
  <c r="E189" i="1"/>
  <c r="E188" i="1"/>
  <c r="E187" i="1"/>
  <c r="E186" i="1"/>
  <c r="E185" i="1"/>
  <c r="E184" i="1"/>
  <c r="C189" i="1"/>
  <c r="C188" i="1"/>
  <c r="C187" i="1"/>
  <c r="C186" i="1"/>
  <c r="C185" i="1"/>
  <c r="C184" i="1"/>
  <c r="E168" i="1"/>
  <c r="E167" i="1"/>
  <c r="E166" i="1"/>
  <c r="E165" i="1"/>
  <c r="E164" i="1"/>
  <c r="E163" i="1"/>
  <c r="C168" i="1"/>
  <c r="C167" i="1"/>
  <c r="C166" i="1"/>
  <c r="C165" i="1"/>
  <c r="C164" i="1"/>
  <c r="C163" i="1"/>
  <c r="E161" i="1"/>
  <c r="E160" i="1"/>
  <c r="E159" i="1"/>
  <c r="E158" i="1"/>
  <c r="E157" i="1"/>
  <c r="E156" i="1"/>
  <c r="C161" i="1"/>
  <c r="C160" i="1"/>
  <c r="C159" i="1"/>
  <c r="C158" i="1"/>
  <c r="C157" i="1"/>
  <c r="C156" i="1"/>
  <c r="E154" i="1"/>
  <c r="E153" i="1"/>
  <c r="E152" i="1"/>
  <c r="E151" i="1"/>
  <c r="E150" i="1"/>
  <c r="E149" i="1"/>
  <c r="C154" i="1"/>
  <c r="C153" i="1"/>
  <c r="C152" i="1"/>
  <c r="C151" i="1"/>
  <c r="C150" i="1"/>
  <c r="C149" i="1"/>
  <c r="E147" i="1"/>
  <c r="E146" i="1"/>
  <c r="E145" i="1"/>
  <c r="E144" i="1"/>
  <c r="E143" i="1"/>
  <c r="E142" i="1"/>
  <c r="C147" i="1"/>
  <c r="C146" i="1"/>
  <c r="C145" i="1"/>
  <c r="C144" i="1"/>
  <c r="C143" i="1"/>
  <c r="C142" i="1"/>
  <c r="E140" i="1"/>
  <c r="E139" i="1"/>
  <c r="E138" i="1"/>
  <c r="E137" i="1"/>
  <c r="E136" i="1"/>
  <c r="E135" i="1"/>
  <c r="C140" i="1"/>
  <c r="C139" i="1"/>
  <c r="C138" i="1"/>
  <c r="C137" i="1"/>
  <c r="C136" i="1"/>
  <c r="C135" i="1"/>
  <c r="E133" i="1"/>
  <c r="E132" i="1"/>
  <c r="E131" i="1"/>
  <c r="E130" i="1"/>
  <c r="E129" i="1"/>
  <c r="E128" i="1"/>
  <c r="C133" i="1"/>
  <c r="C132" i="1"/>
  <c r="C131" i="1"/>
  <c r="C130" i="1"/>
  <c r="C129" i="1"/>
  <c r="C128" i="1"/>
  <c r="G49" i="8" l="1"/>
  <c r="L55" i="8" s="1"/>
  <c r="M55" i="8" s="1"/>
  <c r="F49" i="8"/>
  <c r="K55" i="8" s="1"/>
  <c r="G48" i="8"/>
  <c r="L54" i="8" s="1"/>
  <c r="M54" i="8" s="1"/>
  <c r="F48" i="8"/>
  <c r="K54" i="8" s="1"/>
  <c r="G47" i="8"/>
  <c r="L53" i="8" s="1"/>
  <c r="M53" i="8" s="1"/>
  <c r="F47" i="8"/>
  <c r="G46" i="8"/>
  <c r="L52" i="8" s="1"/>
  <c r="M52" i="8" s="1"/>
  <c r="F46" i="8"/>
  <c r="K52" i="8" s="1"/>
  <c r="G45" i="8"/>
  <c r="F45" i="8"/>
  <c r="K51" i="8" s="1"/>
  <c r="C49" i="8"/>
  <c r="L49" i="8" s="1"/>
  <c r="M49" i="8" s="1"/>
  <c r="B49" i="8"/>
  <c r="K49" i="8" s="1"/>
  <c r="C48" i="8"/>
  <c r="L48" i="8" s="1"/>
  <c r="M48" i="8" s="1"/>
  <c r="B48" i="8"/>
  <c r="K48" i="8" s="1"/>
  <c r="C47" i="8"/>
  <c r="L47" i="8" s="1"/>
  <c r="M47" i="8" s="1"/>
  <c r="B47" i="8"/>
  <c r="K47" i="8" s="1"/>
  <c r="C46" i="8"/>
  <c r="L46" i="8" s="1"/>
  <c r="M46" i="8" s="1"/>
  <c r="B46" i="8"/>
  <c r="K46" i="8" s="1"/>
  <c r="C45" i="8"/>
  <c r="L45" i="8" s="1"/>
  <c r="M45" i="8" s="1"/>
  <c r="B45" i="8"/>
  <c r="K45" i="8" s="1"/>
  <c r="G44" i="8"/>
  <c r="L50" i="8" s="1"/>
  <c r="M50" i="8" s="1"/>
  <c r="C44" i="8"/>
  <c r="F44" i="8"/>
  <c r="B44" i="8"/>
  <c r="K50" i="8" l="1"/>
  <c r="K44" i="8"/>
  <c r="C51" i="8"/>
  <c r="G51" i="8"/>
  <c r="K53" i="8"/>
  <c r="L44" i="8"/>
  <c r="L51" i="8"/>
  <c r="M51" i="8" s="1"/>
  <c r="G29" i="8"/>
  <c r="L35" i="8" s="1"/>
  <c r="M35" i="8" s="1"/>
  <c r="F29" i="8"/>
  <c r="K35" i="8" s="1"/>
  <c r="G28" i="8"/>
  <c r="L34" i="8" s="1"/>
  <c r="M34" i="8" s="1"/>
  <c r="F28" i="8"/>
  <c r="K34" i="8" s="1"/>
  <c r="G27" i="8"/>
  <c r="L33" i="8" s="1"/>
  <c r="M33" i="8" s="1"/>
  <c r="F27" i="8"/>
  <c r="K33" i="8" s="1"/>
  <c r="G26" i="8"/>
  <c r="L32" i="8" s="1"/>
  <c r="M32" i="8" s="1"/>
  <c r="F26" i="8"/>
  <c r="K32" i="8" s="1"/>
  <c r="G25" i="8"/>
  <c r="L31" i="8" s="1"/>
  <c r="M31" i="8" s="1"/>
  <c r="F25" i="8"/>
  <c r="K31" i="8" s="1"/>
  <c r="C29" i="8"/>
  <c r="L29" i="8" s="1"/>
  <c r="M29" i="8" s="1"/>
  <c r="B29" i="8"/>
  <c r="K29" i="8" s="1"/>
  <c r="C28" i="8"/>
  <c r="L28" i="8" s="1"/>
  <c r="M28" i="8" s="1"/>
  <c r="B28" i="8"/>
  <c r="K28" i="8" s="1"/>
  <c r="C27" i="8"/>
  <c r="L27" i="8" s="1"/>
  <c r="M27" i="8" s="1"/>
  <c r="B27" i="8"/>
  <c r="K27" i="8" s="1"/>
  <c r="C26" i="8"/>
  <c r="B26" i="8"/>
  <c r="K26" i="8" s="1"/>
  <c r="C25" i="8"/>
  <c r="L25" i="8" s="1"/>
  <c r="M25" i="8" s="1"/>
  <c r="B25" i="8"/>
  <c r="K25" i="8" s="1"/>
  <c r="G24" i="8"/>
  <c r="C24" i="8"/>
  <c r="L24" i="8" s="1"/>
  <c r="M24" i="8" s="1"/>
  <c r="F24" i="8"/>
  <c r="K30" i="8" s="1"/>
  <c r="B24" i="8"/>
  <c r="K24" i="8" s="1"/>
  <c r="M57" i="8" l="1"/>
  <c r="N57" i="8"/>
  <c r="M44" i="8"/>
  <c r="O44" i="8" s="1"/>
  <c r="P44" i="8" s="1"/>
  <c r="C31" i="8"/>
  <c r="L26" i="8"/>
  <c r="L30" i="8"/>
  <c r="M30" i="8" s="1"/>
  <c r="N32" i="8" s="1"/>
  <c r="O32" i="8" s="1"/>
  <c r="G31" i="8"/>
  <c r="O54" i="8" l="1"/>
  <c r="P54" i="8" s="1"/>
  <c r="N49" i="8"/>
  <c r="N44" i="8"/>
  <c r="N55" i="8"/>
  <c r="N46" i="8"/>
  <c r="N48" i="8"/>
  <c r="N54" i="8"/>
  <c r="O47" i="8"/>
  <c r="P47" i="8" s="1"/>
  <c r="O50" i="8"/>
  <c r="P50" i="8" s="1"/>
  <c r="N53" i="8"/>
  <c r="O51" i="8"/>
  <c r="P51" i="8" s="1"/>
  <c r="N52" i="8"/>
  <c r="N47" i="8"/>
  <c r="O46" i="8"/>
  <c r="P46" i="8" s="1"/>
  <c r="O53" i="8"/>
  <c r="P53" i="8" s="1"/>
  <c r="N50" i="8"/>
  <c r="N45" i="8"/>
  <c r="N51" i="8"/>
  <c r="O45" i="8"/>
  <c r="P45" i="8" s="1"/>
  <c r="O49" i="8"/>
  <c r="P49" i="8" s="1"/>
  <c r="O55" i="8"/>
  <c r="P55" i="8" s="1"/>
  <c r="O48" i="8"/>
  <c r="P48" i="8" s="1"/>
  <c r="O52" i="8"/>
  <c r="P52" i="8" s="1"/>
  <c r="M26" i="8"/>
  <c r="N26" i="8" s="1"/>
  <c r="O26" i="8" s="1"/>
  <c r="M37" i="8"/>
  <c r="N37" i="8"/>
  <c r="N30" i="8"/>
  <c r="O30" i="8" s="1"/>
  <c r="N31" i="8"/>
  <c r="O31" i="8" s="1"/>
  <c r="N34" i="8"/>
  <c r="O34" i="8" s="1"/>
  <c r="N33" i="8"/>
  <c r="O33" i="8" s="1"/>
  <c r="N35" i="8"/>
  <c r="O35" i="8" s="1"/>
  <c r="D46" i="8" l="1"/>
  <c r="D48" i="8"/>
  <c r="H46" i="8"/>
  <c r="H48" i="8"/>
  <c r="H49" i="8"/>
  <c r="D45" i="8"/>
  <c r="H44" i="8"/>
  <c r="H45" i="8"/>
  <c r="D49" i="8"/>
  <c r="D44" i="8"/>
  <c r="H47" i="8"/>
  <c r="D47" i="8"/>
  <c r="N28" i="8"/>
  <c r="O28" i="8" s="1"/>
  <c r="N24" i="8"/>
  <c r="O24" i="8" s="1"/>
  <c r="N27" i="8"/>
  <c r="O27" i="8" s="1"/>
  <c r="N29" i="8"/>
  <c r="O29" i="8" s="1"/>
  <c r="N25" i="8"/>
  <c r="O25" i="8" s="1"/>
  <c r="D51" i="8" l="1"/>
  <c r="Q29" i="8"/>
  <c r="R29" i="8" s="1"/>
  <c r="P34" i="8"/>
  <c r="Q32" i="8"/>
  <c r="R32" i="8" s="1"/>
  <c r="P24" i="8"/>
  <c r="Q30" i="8"/>
  <c r="R30" i="8" s="1"/>
  <c r="P28" i="8"/>
  <c r="Q27" i="8"/>
  <c r="R27" i="8" s="1"/>
  <c r="Q24" i="8"/>
  <c r="R24" i="8" s="1"/>
  <c r="Q33" i="8"/>
  <c r="R33" i="8" s="1"/>
  <c r="P30" i="8"/>
  <c r="P27" i="8"/>
  <c r="P25" i="8"/>
  <c r="Q26" i="8"/>
  <c r="R26" i="8" s="1"/>
  <c r="Q25" i="8"/>
  <c r="R25" i="8" s="1"/>
  <c r="Q31" i="8"/>
  <c r="R31" i="8" s="1"/>
  <c r="P32" i="8"/>
  <c r="P26" i="8"/>
  <c r="P35" i="8"/>
  <c r="Q28" i="8"/>
  <c r="R28" i="8" s="1"/>
  <c r="P33" i="8"/>
  <c r="P29" i="8"/>
  <c r="P31" i="8"/>
  <c r="H24" i="8" l="1"/>
  <c r="H27" i="8"/>
  <c r="H29" i="8"/>
  <c r="AI21" i="7" s="1"/>
  <c r="H28" i="8"/>
  <c r="H26" i="8"/>
  <c r="H25" i="8"/>
  <c r="D29" i="8" l="1"/>
  <c r="Q21" i="7" s="1"/>
  <c r="D28" i="8"/>
  <c r="Q20" i="7" s="1"/>
  <c r="AI20" i="7"/>
  <c r="D27" i="8"/>
  <c r="AI19" i="7"/>
  <c r="D25" i="8"/>
  <c r="Q17" i="7" s="1"/>
  <c r="AI17" i="7"/>
  <c r="D26" i="8"/>
  <c r="AI18" i="7"/>
  <c r="D24" i="8"/>
  <c r="Q16" i="7" s="1"/>
  <c r="AI16" i="7"/>
  <c r="Q39" i="8"/>
  <c r="H31" i="8"/>
  <c r="Q37" i="8"/>
  <c r="Q38" i="8"/>
  <c r="F5" i="8" l="1"/>
  <c r="K11" i="8" s="1"/>
  <c r="G5" i="8"/>
  <c r="L11" i="8" s="1"/>
  <c r="M11" i="8" s="1"/>
  <c r="F6" i="8"/>
  <c r="K12" i="8" s="1"/>
  <c r="G6" i="8"/>
  <c r="F7" i="8"/>
  <c r="K13" i="8" s="1"/>
  <c r="G7" i="8"/>
  <c r="L13" i="8" s="1"/>
  <c r="M13" i="8" s="1"/>
  <c r="F8" i="8"/>
  <c r="K14" i="8" s="1"/>
  <c r="G8" i="8"/>
  <c r="L14" i="8" s="1"/>
  <c r="M14" i="8" s="1"/>
  <c r="F9" i="8"/>
  <c r="K15" i="8" s="1"/>
  <c r="G9" i="8"/>
  <c r="B5" i="8"/>
  <c r="K5" i="8" s="1"/>
  <c r="C5" i="8"/>
  <c r="L5" i="8" s="1"/>
  <c r="M5" i="8" s="1"/>
  <c r="B6" i="8"/>
  <c r="K6" i="8" s="1"/>
  <c r="C6" i="8"/>
  <c r="L6" i="8" s="1"/>
  <c r="M6" i="8" s="1"/>
  <c r="B7" i="8"/>
  <c r="K7" i="8" s="1"/>
  <c r="C7" i="8"/>
  <c r="B8" i="8"/>
  <c r="K8" i="8" s="1"/>
  <c r="C8" i="8"/>
  <c r="L8" i="8" s="1"/>
  <c r="M8" i="8" s="1"/>
  <c r="B9" i="8"/>
  <c r="K9" i="8" s="1"/>
  <c r="C9" i="8"/>
  <c r="G4" i="8"/>
  <c r="L10" i="8" s="1"/>
  <c r="M10" i="8" s="1"/>
  <c r="F4" i="8"/>
  <c r="K10" i="8" s="1"/>
  <c r="C4" i="8"/>
  <c r="L4" i="8" s="1"/>
  <c r="M4" i="8" s="1"/>
  <c r="B4" i="8"/>
  <c r="K4" i="8" s="1"/>
  <c r="L7" i="8" l="1"/>
  <c r="M7" i="8" s="1"/>
  <c r="C11" i="8"/>
  <c r="L12" i="8"/>
  <c r="M12" i="8" s="1"/>
  <c r="G11" i="8"/>
  <c r="L15" i="8"/>
  <c r="L9" i="8"/>
  <c r="M9" i="8" s="1"/>
  <c r="N9" i="8" l="1"/>
  <c r="O9" i="8" s="1"/>
  <c r="N17" i="8"/>
  <c r="M17" i="8"/>
  <c r="M15" i="8"/>
  <c r="N15" i="8" s="1"/>
  <c r="O15" i="8" s="1"/>
  <c r="N8" i="8"/>
  <c r="O8" i="8" s="1"/>
  <c r="N6" i="8"/>
  <c r="O6" i="8" s="1"/>
  <c r="N4" i="8"/>
  <c r="O4" i="8" s="1"/>
  <c r="N5" i="8"/>
  <c r="O5" i="8" s="1"/>
  <c r="N7" i="8"/>
  <c r="O7" i="8" s="1"/>
  <c r="N10" i="8" l="1"/>
  <c r="O10" i="8" s="1"/>
  <c r="N13" i="8"/>
  <c r="O13" i="8" s="1"/>
  <c r="N14" i="8"/>
  <c r="O14" i="8" s="1"/>
  <c r="N12" i="8"/>
  <c r="O12" i="8" s="1"/>
  <c r="N11" i="8"/>
  <c r="O11" i="8" s="1"/>
  <c r="Q12" i="8" l="1"/>
  <c r="R12" i="8" s="1"/>
  <c r="Q8" i="8"/>
  <c r="R8" i="8" s="1"/>
  <c r="P11" i="8"/>
  <c r="Q5" i="8"/>
  <c r="R5" i="8" s="1"/>
  <c r="P9" i="8"/>
  <c r="Q7" i="8"/>
  <c r="R7" i="8" s="1"/>
  <c r="P15" i="8"/>
  <c r="P13" i="8"/>
  <c r="P14" i="8"/>
  <c r="P7" i="8"/>
  <c r="Q4" i="8"/>
  <c r="R4" i="8" s="1"/>
  <c r="Q11" i="8"/>
  <c r="R11" i="8" s="1"/>
  <c r="P5" i="8"/>
  <c r="Q10" i="8"/>
  <c r="R10" i="8" s="1"/>
  <c r="P8" i="8"/>
  <c r="P4" i="8"/>
  <c r="P10" i="8"/>
  <c r="P12" i="8"/>
  <c r="P6" i="8"/>
  <c r="Q13" i="8"/>
  <c r="R13" i="8" s="1"/>
  <c r="Q6" i="8"/>
  <c r="R6" i="8" s="1"/>
  <c r="Q9" i="8"/>
  <c r="R9" i="8" s="1"/>
  <c r="H9" i="8" l="1"/>
  <c r="H7" i="8"/>
  <c r="H5" i="8"/>
  <c r="H6" i="8"/>
  <c r="H4" i="8"/>
  <c r="H8" i="8"/>
  <c r="D8" i="8" l="1"/>
  <c r="D9" i="8" s="1"/>
  <c r="D4" i="8"/>
  <c r="Q19" i="7" s="1"/>
  <c r="D6" i="8"/>
  <c r="D7" i="8" s="1"/>
  <c r="Q19" i="8"/>
  <c r="H11" i="8"/>
  <c r="Q18" i="8"/>
  <c r="Q17" i="8"/>
  <c r="D5" i="8" l="1"/>
  <c r="O18" i="8" s="1"/>
  <c r="Q18" i="7"/>
  <c r="O19" i="8"/>
  <c r="O17" i="8" l="1"/>
  <c r="P18" i="8" s="1"/>
  <c r="D11" i="8"/>
  <c r="R17" i="8" l="1"/>
  <c r="R18" i="8"/>
  <c r="P19" i="8"/>
  <c r="P17" i="8"/>
  <c r="R19" i="8"/>
  <c r="R20" i="8"/>
  <c r="N18" i="8" s="1"/>
  <c r="N19" i="8" s="1"/>
  <c r="H12" i="8" s="1"/>
  <c r="P20" i="8"/>
  <c r="M18" i="8" s="1"/>
  <c r="M19" i="8" s="1"/>
  <c r="D12" i="8" s="1"/>
  <c r="C22" i="7" l="1"/>
  <c r="AC11" i="7"/>
  <c r="AD11" i="7"/>
  <c r="F462" i="1" l="1"/>
  <c r="F461" i="1"/>
  <c r="F460" i="1"/>
  <c r="F459" i="1"/>
  <c r="F457" i="1"/>
  <c r="F456" i="1"/>
  <c r="F455" i="1"/>
  <c r="F454" i="1"/>
  <c r="F452" i="1"/>
  <c r="F451" i="1"/>
  <c r="F450" i="1"/>
  <c r="F449" i="1"/>
  <c r="F447" i="1"/>
  <c r="F446" i="1"/>
  <c r="F445" i="1"/>
  <c r="F444" i="1"/>
  <c r="F442" i="1"/>
  <c r="F441" i="1"/>
  <c r="F440" i="1"/>
  <c r="F439" i="1"/>
  <c r="F437" i="1"/>
  <c r="F436" i="1"/>
  <c r="F435" i="1"/>
  <c r="F434" i="1"/>
  <c r="E432" i="1"/>
  <c r="C432" i="1"/>
  <c r="F432" i="1" s="1"/>
  <c r="E431" i="1"/>
  <c r="C431" i="1"/>
  <c r="F431" i="1" s="1"/>
  <c r="E430" i="1"/>
  <c r="C430" i="1"/>
  <c r="F430" i="1" s="1"/>
  <c r="E429" i="1"/>
  <c r="C429" i="1"/>
  <c r="F429" i="1" s="1"/>
  <c r="E427" i="1"/>
  <c r="C427" i="1"/>
  <c r="F427" i="1" s="1"/>
  <c r="E426" i="1"/>
  <c r="C426" i="1"/>
  <c r="F426" i="1" s="1"/>
  <c r="E425" i="1"/>
  <c r="C425" i="1"/>
  <c r="F425" i="1" s="1"/>
  <c r="E424" i="1"/>
  <c r="C424" i="1"/>
  <c r="F424" i="1" s="1"/>
  <c r="F422" i="1"/>
  <c r="F421" i="1"/>
  <c r="F420" i="1"/>
  <c r="F419" i="1"/>
  <c r="F417" i="1"/>
  <c r="F416" i="1"/>
  <c r="F415" i="1"/>
  <c r="F414" i="1"/>
  <c r="E412" i="1"/>
  <c r="C412" i="1"/>
  <c r="F412" i="1" s="1"/>
  <c r="E411" i="1"/>
  <c r="C411" i="1"/>
  <c r="F411" i="1" s="1"/>
  <c r="E410" i="1"/>
  <c r="C410" i="1"/>
  <c r="F410" i="1" s="1"/>
  <c r="E409" i="1"/>
  <c r="C409" i="1"/>
  <c r="F409" i="1" s="1"/>
  <c r="E407" i="1"/>
  <c r="C407" i="1"/>
  <c r="F407" i="1" s="1"/>
  <c r="E406" i="1"/>
  <c r="C406" i="1"/>
  <c r="F406" i="1" s="1"/>
  <c r="E405" i="1"/>
  <c r="C405" i="1"/>
  <c r="F405" i="1" s="1"/>
  <c r="E404" i="1"/>
  <c r="C404" i="1"/>
  <c r="F404" i="1" s="1"/>
  <c r="E402" i="1"/>
  <c r="C402" i="1"/>
  <c r="F402" i="1" s="1"/>
  <c r="E401" i="1"/>
  <c r="C401" i="1"/>
  <c r="F401" i="1" s="1"/>
  <c r="E400" i="1"/>
  <c r="C400" i="1"/>
  <c r="F400" i="1" s="1"/>
  <c r="E399" i="1"/>
  <c r="C399" i="1"/>
  <c r="F399" i="1" s="1"/>
  <c r="E397" i="1"/>
  <c r="C397" i="1"/>
  <c r="F397" i="1" s="1"/>
  <c r="E396" i="1"/>
  <c r="C396" i="1"/>
  <c r="F396" i="1" s="1"/>
  <c r="E395" i="1"/>
  <c r="C395" i="1"/>
  <c r="F395" i="1" s="1"/>
  <c r="E394" i="1"/>
  <c r="C394" i="1"/>
  <c r="F394" i="1" s="1"/>
  <c r="F392" i="1"/>
  <c r="F391" i="1"/>
  <c r="F390" i="1"/>
  <c r="F389" i="1"/>
  <c r="F387" i="1"/>
  <c r="F386" i="1"/>
  <c r="F385" i="1"/>
  <c r="F384" i="1"/>
  <c r="F382" i="1"/>
  <c r="F381" i="1"/>
  <c r="F380" i="1"/>
  <c r="F379" i="1"/>
  <c r="F377" i="1"/>
  <c r="F376" i="1"/>
  <c r="F375" i="1"/>
  <c r="F374" i="1"/>
  <c r="F372" i="1"/>
  <c r="F371" i="1"/>
  <c r="F370" i="1"/>
  <c r="F369" i="1"/>
  <c r="F367" i="1"/>
  <c r="F366" i="1"/>
  <c r="F365" i="1"/>
  <c r="F364" i="1"/>
  <c r="E362" i="1"/>
  <c r="C362" i="1"/>
  <c r="F362" i="1" s="1"/>
  <c r="E361" i="1"/>
  <c r="C361" i="1"/>
  <c r="F361" i="1" s="1"/>
  <c r="E360" i="1"/>
  <c r="C360" i="1"/>
  <c r="F360" i="1" s="1"/>
  <c r="E359" i="1"/>
  <c r="C359" i="1"/>
  <c r="F359" i="1" s="1"/>
  <c r="E357" i="1"/>
  <c r="C357" i="1"/>
  <c r="F357" i="1" s="1"/>
  <c r="E356" i="1"/>
  <c r="C356" i="1"/>
  <c r="F356" i="1" s="1"/>
  <c r="E355" i="1"/>
  <c r="C355" i="1"/>
  <c r="F355" i="1" s="1"/>
  <c r="E354" i="1"/>
  <c r="C354" i="1"/>
  <c r="F354" i="1" s="1"/>
  <c r="F352" i="1"/>
  <c r="F351" i="1"/>
  <c r="F350" i="1"/>
  <c r="F349" i="1"/>
  <c r="F347" i="1"/>
  <c r="F346" i="1"/>
  <c r="F345" i="1"/>
  <c r="F344" i="1"/>
  <c r="E342" i="1"/>
  <c r="C342" i="1"/>
  <c r="F342" i="1" s="1"/>
  <c r="E341" i="1"/>
  <c r="C341" i="1"/>
  <c r="F341" i="1" s="1"/>
  <c r="C340" i="1"/>
  <c r="F340" i="1" s="1"/>
  <c r="C339" i="1"/>
  <c r="F339" i="1" s="1"/>
  <c r="E337" i="1"/>
  <c r="C337" i="1"/>
  <c r="F337" i="1" s="1"/>
  <c r="E336" i="1"/>
  <c r="C336" i="1"/>
  <c r="F336" i="1" s="1"/>
  <c r="E335" i="1"/>
  <c r="C335" i="1"/>
  <c r="F335" i="1" s="1"/>
  <c r="E334" i="1"/>
  <c r="C334" i="1"/>
  <c r="F334" i="1" s="1"/>
  <c r="E332" i="1"/>
  <c r="C332" i="1"/>
  <c r="F332" i="1" s="1"/>
  <c r="E331" i="1"/>
  <c r="C331" i="1"/>
  <c r="F331" i="1" s="1"/>
  <c r="E330" i="1"/>
  <c r="C330" i="1"/>
  <c r="F330" i="1" s="1"/>
  <c r="E329" i="1"/>
  <c r="C329" i="1"/>
  <c r="F329" i="1" s="1"/>
  <c r="E327" i="1"/>
  <c r="C327" i="1"/>
  <c r="F327" i="1" s="1"/>
  <c r="E326" i="1"/>
  <c r="C326" i="1"/>
  <c r="F326" i="1" s="1"/>
  <c r="E325" i="1"/>
  <c r="C325" i="1"/>
  <c r="F325" i="1" s="1"/>
  <c r="E324" i="1"/>
  <c r="C324" i="1"/>
  <c r="F324" i="1" s="1"/>
  <c r="F322" i="1"/>
  <c r="F321" i="1"/>
  <c r="F320" i="1"/>
  <c r="F319" i="1"/>
  <c r="F317" i="1"/>
  <c r="F316" i="1"/>
  <c r="F315" i="1"/>
  <c r="F314" i="1"/>
  <c r="F312" i="1"/>
  <c r="F311" i="1"/>
  <c r="F310" i="1"/>
  <c r="F309" i="1"/>
  <c r="F307" i="1"/>
  <c r="F306" i="1"/>
  <c r="F305" i="1"/>
  <c r="F304" i="1"/>
  <c r="F302" i="1"/>
  <c r="F301" i="1"/>
  <c r="F300" i="1"/>
  <c r="F299" i="1"/>
  <c r="F297" i="1"/>
  <c r="F296" i="1"/>
  <c r="F295" i="1"/>
  <c r="F294" i="1"/>
  <c r="F292" i="1"/>
  <c r="F291" i="1"/>
  <c r="F290" i="1"/>
  <c r="F289" i="1"/>
  <c r="F287" i="1"/>
  <c r="F286" i="1"/>
  <c r="F285" i="1"/>
  <c r="F284" i="1"/>
  <c r="F282" i="1"/>
  <c r="E281" i="1"/>
  <c r="F281" i="1"/>
  <c r="C280" i="1"/>
  <c r="F280" i="1" s="1"/>
  <c r="F279" i="1"/>
  <c r="F277" i="1"/>
  <c r="F276" i="1"/>
  <c r="F275" i="1"/>
  <c r="E274" i="1"/>
  <c r="F274" i="1"/>
  <c r="F272" i="1"/>
  <c r="F271" i="1"/>
  <c r="F270" i="1"/>
  <c r="C269" i="1"/>
  <c r="F269" i="1" s="1"/>
  <c r="F267" i="1"/>
  <c r="F266" i="1"/>
  <c r="F265" i="1"/>
  <c r="C264" i="1"/>
  <c r="F264" i="1" s="1"/>
  <c r="B404" i="1"/>
  <c r="F262" i="1"/>
  <c r="F261" i="1"/>
  <c r="F260" i="1"/>
  <c r="F259" i="1"/>
  <c r="C257" i="1"/>
  <c r="F257" i="1" s="1"/>
  <c r="F256" i="1"/>
  <c r="F255" i="1"/>
  <c r="A255" i="1"/>
  <c r="A256" i="1" s="1"/>
  <c r="A257" i="1" s="1"/>
  <c r="A259" i="1" s="1"/>
  <c r="A260" i="1" s="1"/>
  <c r="A261" i="1" s="1"/>
  <c r="A262" i="1" s="1"/>
  <c r="A264" i="1" s="1"/>
  <c r="A265" i="1" s="1"/>
  <c r="A266" i="1" s="1"/>
  <c r="A267" i="1" s="1"/>
  <c r="A269" i="1" s="1"/>
  <c r="A270" i="1" s="1"/>
  <c r="A271" i="1" s="1"/>
  <c r="A272" i="1" s="1"/>
  <c r="A274" i="1" s="1"/>
  <c r="A275" i="1" s="1"/>
  <c r="A276" i="1" s="1"/>
  <c r="A277" i="1" s="1"/>
  <c r="A279" i="1" s="1"/>
  <c r="A280" i="1" s="1"/>
  <c r="A281" i="1" s="1"/>
  <c r="A282" i="1" s="1"/>
  <c r="A284" i="1" s="1"/>
  <c r="A285" i="1" s="1"/>
  <c r="A286" i="1" s="1"/>
  <c r="A287" i="1" s="1"/>
  <c r="A289" i="1" s="1"/>
  <c r="A290" i="1" s="1"/>
  <c r="A291" i="1" s="1"/>
  <c r="A292" i="1" s="1"/>
  <c r="A294" i="1" s="1"/>
  <c r="A295" i="1" s="1"/>
  <c r="A296" i="1" s="1"/>
  <c r="A297" i="1" s="1"/>
  <c r="A299" i="1" s="1"/>
  <c r="A300" i="1" s="1"/>
  <c r="A301" i="1" s="1"/>
  <c r="A302" i="1" s="1"/>
  <c r="A304" i="1" s="1"/>
  <c r="A305" i="1" s="1"/>
  <c r="A306" i="1" s="1"/>
  <c r="A307" i="1" s="1"/>
  <c r="A309" i="1" s="1"/>
  <c r="A310" i="1" s="1"/>
  <c r="A311" i="1" s="1"/>
  <c r="A312" i="1" s="1"/>
  <c r="A314" i="1" s="1"/>
  <c r="A315" i="1" s="1"/>
  <c r="A316" i="1" s="1"/>
  <c r="A317" i="1" s="1"/>
  <c r="A319" i="1" s="1"/>
  <c r="A320" i="1" s="1"/>
  <c r="A321" i="1" s="1"/>
  <c r="A322" i="1" s="1"/>
  <c r="A324" i="1" s="1"/>
  <c r="A325" i="1" s="1"/>
  <c r="A326" i="1" s="1"/>
  <c r="A327" i="1" s="1"/>
  <c r="A329" i="1" s="1"/>
  <c r="A330" i="1" s="1"/>
  <c r="A331" i="1" s="1"/>
  <c r="A332" i="1" s="1"/>
  <c r="A334" i="1" s="1"/>
  <c r="A335" i="1" s="1"/>
  <c r="A336" i="1" s="1"/>
  <c r="A337" i="1" s="1"/>
  <c r="A339" i="1" s="1"/>
  <c r="A340" i="1" s="1"/>
  <c r="A341" i="1" s="1"/>
  <c r="A342" i="1" s="1"/>
  <c r="A344" i="1" s="1"/>
  <c r="A345" i="1" s="1"/>
  <c r="A346" i="1" s="1"/>
  <c r="A347" i="1" s="1"/>
  <c r="A349" i="1" s="1"/>
  <c r="A350" i="1" s="1"/>
  <c r="A351" i="1" s="1"/>
  <c r="A352" i="1" s="1"/>
  <c r="A354" i="1" s="1"/>
  <c r="A355" i="1" s="1"/>
  <c r="A356" i="1" s="1"/>
  <c r="A357" i="1" s="1"/>
  <c r="A359" i="1" s="1"/>
  <c r="A360" i="1" s="1"/>
  <c r="A361" i="1" s="1"/>
  <c r="A362" i="1" s="1"/>
  <c r="A364" i="1" s="1"/>
  <c r="A365" i="1" s="1"/>
  <c r="A366" i="1" s="1"/>
  <c r="A367" i="1" s="1"/>
  <c r="A369" i="1" s="1"/>
  <c r="A370" i="1" s="1"/>
  <c r="A371" i="1" s="1"/>
  <c r="A372" i="1" s="1"/>
  <c r="A374" i="1" s="1"/>
  <c r="A375" i="1" s="1"/>
  <c r="A376" i="1" s="1"/>
  <c r="A377" i="1" s="1"/>
  <c r="A379" i="1" s="1"/>
  <c r="A380" i="1" s="1"/>
  <c r="A381" i="1" s="1"/>
  <c r="A382" i="1" s="1"/>
  <c r="A384" i="1" s="1"/>
  <c r="A385" i="1" s="1"/>
  <c r="A386" i="1" s="1"/>
  <c r="A387" i="1" s="1"/>
  <c r="A389" i="1" s="1"/>
  <c r="A390" i="1" s="1"/>
  <c r="A391" i="1" s="1"/>
  <c r="A392" i="1" s="1"/>
  <c r="A394" i="1" s="1"/>
  <c r="A395" i="1" s="1"/>
  <c r="A396" i="1" s="1"/>
  <c r="A397" i="1" s="1"/>
  <c r="A399" i="1" s="1"/>
  <c r="A400" i="1" s="1"/>
  <c r="A401" i="1" s="1"/>
  <c r="A402" i="1" s="1"/>
  <c r="A404" i="1" s="1"/>
  <c r="A405" i="1" s="1"/>
  <c r="A406" i="1" s="1"/>
  <c r="A407" i="1" s="1"/>
  <c r="A409" i="1" s="1"/>
  <c r="A410" i="1" s="1"/>
  <c r="A411" i="1" s="1"/>
  <c r="A412" i="1" s="1"/>
  <c r="A414" i="1" s="1"/>
  <c r="A415" i="1" s="1"/>
  <c r="A416" i="1" s="1"/>
  <c r="A417" i="1" s="1"/>
  <c r="A419" i="1" s="1"/>
  <c r="A420" i="1" s="1"/>
  <c r="A421" i="1" s="1"/>
  <c r="A422" i="1" s="1"/>
  <c r="A424" i="1" s="1"/>
  <c r="A425" i="1" s="1"/>
  <c r="A426" i="1" s="1"/>
  <c r="A427" i="1" s="1"/>
  <c r="A429" i="1" s="1"/>
  <c r="A430" i="1" s="1"/>
  <c r="A431" i="1" s="1"/>
  <c r="A432" i="1" s="1"/>
  <c r="A434" i="1" s="1"/>
  <c r="A435" i="1" s="1"/>
  <c r="A436" i="1" s="1"/>
  <c r="A437" i="1" s="1"/>
  <c r="A439" i="1" s="1"/>
  <c r="A440" i="1" s="1"/>
  <c r="A441" i="1" s="1"/>
  <c r="A442" i="1" s="1"/>
  <c r="A444" i="1" s="1"/>
  <c r="A445" i="1" s="1"/>
  <c r="A446" i="1" s="1"/>
  <c r="A447" i="1" s="1"/>
  <c r="A449" i="1" s="1"/>
  <c r="A450" i="1" s="1"/>
  <c r="A451" i="1" s="1"/>
  <c r="A452" i="1" s="1"/>
  <c r="A454" i="1" s="1"/>
  <c r="A455" i="1" s="1"/>
  <c r="A456" i="1" s="1"/>
  <c r="A457" i="1" s="1"/>
  <c r="A459" i="1" s="1"/>
  <c r="A460" i="1" s="1"/>
  <c r="A461" i="1" s="1"/>
  <c r="A462" i="1" s="1"/>
  <c r="E254" i="1"/>
  <c r="F254" i="1"/>
  <c r="B394" i="1"/>
  <c r="E248" i="1"/>
  <c r="B247" i="1"/>
  <c r="B248" i="1" s="1"/>
  <c r="B249" i="1" s="1"/>
  <c r="B250" i="1" s="1"/>
  <c r="B251" i="1" s="1"/>
  <c r="B252" i="1" s="1"/>
  <c r="E227" i="1"/>
  <c r="B233" i="1"/>
  <c r="B234" i="1" s="1"/>
  <c r="B235" i="1" s="1"/>
  <c r="B236" i="1" s="1"/>
  <c r="B237" i="1" s="1"/>
  <c r="B238" i="1" s="1"/>
  <c r="B219" i="1"/>
  <c r="B220" i="1" s="1"/>
  <c r="B221" i="1" s="1"/>
  <c r="B222" i="1" s="1"/>
  <c r="B223" i="1" s="1"/>
  <c r="B224" i="1" s="1"/>
  <c r="B185" i="1"/>
  <c r="B186" i="1" s="1"/>
  <c r="B187" i="1" s="1"/>
  <c r="B188" i="1" s="1"/>
  <c r="B189" i="1" s="1"/>
  <c r="E182" i="1"/>
  <c r="E180" i="1"/>
  <c r="B171" i="1"/>
  <c r="B172" i="1" s="1"/>
  <c r="B173" i="1" s="1"/>
  <c r="B174" i="1" s="1"/>
  <c r="B175" i="1" s="1"/>
  <c r="F149" i="1"/>
  <c r="F144" i="1"/>
  <c r="B149" i="1"/>
  <c r="B150" i="1" s="1"/>
  <c r="B151" i="1" s="1"/>
  <c r="B152" i="1" s="1"/>
  <c r="B153" i="1" s="1"/>
  <c r="B154" i="1" s="1"/>
  <c r="F139" i="1"/>
  <c r="F130" i="1"/>
  <c r="C125" i="1"/>
  <c r="F125" i="1" s="1"/>
  <c r="C121" i="1"/>
  <c r="F121" i="1" s="1"/>
  <c r="C118" i="1"/>
  <c r="F118" i="1" s="1"/>
  <c r="C116" i="1"/>
  <c r="F116" i="1" s="1"/>
  <c r="C114" i="1"/>
  <c r="F114" i="1" s="1"/>
  <c r="B121" i="1"/>
  <c r="B122" i="1" s="1"/>
  <c r="B123" i="1" s="1"/>
  <c r="B124" i="1" s="1"/>
  <c r="B125" i="1" s="1"/>
  <c r="B126" i="1" s="1"/>
  <c r="C111" i="1"/>
  <c r="F111" i="1" s="1"/>
  <c r="C109" i="1"/>
  <c r="F109" i="1" s="1"/>
  <c r="C107" i="1"/>
  <c r="F107" i="1" s="1"/>
  <c r="C104" i="1"/>
  <c r="F104" i="1" s="1"/>
  <c r="C102" i="1"/>
  <c r="F102" i="1" s="1"/>
  <c r="A101" i="1"/>
  <c r="A102" i="1" s="1"/>
  <c r="A103" i="1" s="1"/>
  <c r="A104" i="1" s="1"/>
  <c r="A105" i="1" s="1"/>
  <c r="A107" i="1" s="1"/>
  <c r="A108" i="1" s="1"/>
  <c r="A109" i="1" s="1"/>
  <c r="A110" i="1" s="1"/>
  <c r="A111" i="1" s="1"/>
  <c r="A112" i="1" s="1"/>
  <c r="A114" i="1" s="1"/>
  <c r="A115" i="1" s="1"/>
  <c r="A116" i="1" s="1"/>
  <c r="A117" i="1" s="1"/>
  <c r="A118" i="1" s="1"/>
  <c r="A119" i="1" s="1"/>
  <c r="A121" i="1" s="1"/>
  <c r="A122" i="1" s="1"/>
  <c r="A123" i="1" s="1"/>
  <c r="A124" i="1" s="1"/>
  <c r="A125" i="1" s="1"/>
  <c r="A126" i="1" s="1"/>
  <c r="A128" i="1" s="1"/>
  <c r="A129" i="1" s="1"/>
  <c r="A130" i="1" s="1"/>
  <c r="A131" i="1" s="1"/>
  <c r="A132" i="1" s="1"/>
  <c r="A133" i="1" s="1"/>
  <c r="A135" i="1" s="1"/>
  <c r="A136" i="1" s="1"/>
  <c r="A137" i="1" s="1"/>
  <c r="A138" i="1" s="1"/>
  <c r="A139" i="1" s="1"/>
  <c r="A140" i="1" s="1"/>
  <c r="A142" i="1" s="1"/>
  <c r="A143" i="1" s="1"/>
  <c r="A144" i="1" s="1"/>
  <c r="A145" i="1" s="1"/>
  <c r="A146" i="1" s="1"/>
  <c r="A147" i="1" s="1"/>
  <c r="A149" i="1" s="1"/>
  <c r="A150" i="1" s="1"/>
  <c r="A151" i="1" s="1"/>
  <c r="A152" i="1" s="1"/>
  <c r="A153" i="1" s="1"/>
  <c r="A154" i="1" s="1"/>
  <c r="A156" i="1" s="1"/>
  <c r="A157" i="1" s="1"/>
  <c r="A158" i="1" s="1"/>
  <c r="A159" i="1" s="1"/>
  <c r="A160" i="1" s="1"/>
  <c r="A161" i="1" s="1"/>
  <c r="A163" i="1" s="1"/>
  <c r="A164" i="1" s="1"/>
  <c r="A165" i="1" s="1"/>
  <c r="A166" i="1" s="1"/>
  <c r="A167" i="1" s="1"/>
  <c r="A168" i="1" s="1"/>
  <c r="A170" i="1" s="1"/>
  <c r="A171" i="1" s="1"/>
  <c r="A172" i="1" s="1"/>
  <c r="A173" i="1" s="1"/>
  <c r="A174" i="1" s="1"/>
  <c r="A175" i="1" s="1"/>
  <c r="A177" i="1" s="1"/>
  <c r="A178" i="1" s="1"/>
  <c r="A179" i="1" s="1"/>
  <c r="A180" i="1" s="1"/>
  <c r="A181" i="1" s="1"/>
  <c r="A182" i="1" s="1"/>
  <c r="A184" i="1" s="1"/>
  <c r="A185" i="1" s="1"/>
  <c r="A186" i="1" s="1"/>
  <c r="A187" i="1" s="1"/>
  <c r="A188" i="1" s="1"/>
  <c r="A189" i="1" s="1"/>
  <c r="A191" i="1" s="1"/>
  <c r="A192" i="1" s="1"/>
  <c r="A193" i="1" s="1"/>
  <c r="A194" i="1" s="1"/>
  <c r="A195" i="1" s="1"/>
  <c r="A196" i="1" s="1"/>
  <c r="A198" i="1" s="1"/>
  <c r="A199" i="1" s="1"/>
  <c r="A200" i="1" s="1"/>
  <c r="A201" i="1" s="1"/>
  <c r="A202" i="1" s="1"/>
  <c r="A203" i="1" s="1"/>
  <c r="A205" i="1" s="1"/>
  <c r="A206" i="1" s="1"/>
  <c r="A207" i="1" s="1"/>
  <c r="A208" i="1" s="1"/>
  <c r="A209" i="1" s="1"/>
  <c r="A210" i="1" s="1"/>
  <c r="A212" i="1" s="1"/>
  <c r="A213" i="1" s="1"/>
  <c r="A214" i="1" s="1"/>
  <c r="A215" i="1" s="1"/>
  <c r="A216" i="1" s="1"/>
  <c r="A217" i="1" s="1"/>
  <c r="A219" i="1" s="1"/>
  <c r="A220" i="1" s="1"/>
  <c r="A221" i="1" s="1"/>
  <c r="A222" i="1" s="1"/>
  <c r="A223" i="1" s="1"/>
  <c r="A224" i="1" s="1"/>
  <c r="A226" i="1" s="1"/>
  <c r="A227" i="1" s="1"/>
  <c r="A228" i="1" s="1"/>
  <c r="A229" i="1" s="1"/>
  <c r="A230" i="1" s="1"/>
  <c r="A231" i="1" s="1"/>
  <c r="A233" i="1" s="1"/>
  <c r="A234" i="1" s="1"/>
  <c r="A235" i="1" s="1"/>
  <c r="A236" i="1" s="1"/>
  <c r="A237" i="1" s="1"/>
  <c r="A238" i="1" s="1"/>
  <c r="A240" i="1" s="1"/>
  <c r="A241" i="1" s="1"/>
  <c r="A242" i="1" s="1"/>
  <c r="A243" i="1" s="1"/>
  <c r="A244" i="1" s="1"/>
  <c r="A245" i="1" s="1"/>
  <c r="A247" i="1" s="1"/>
  <c r="A248" i="1" s="1"/>
  <c r="A249" i="1" s="1"/>
  <c r="A250" i="1" s="1"/>
  <c r="A251" i="1" s="1"/>
  <c r="A252" i="1" s="1"/>
  <c r="C100" i="1"/>
  <c r="F100" i="1" s="1"/>
  <c r="B107" i="1"/>
  <c r="B108" i="1" s="1"/>
  <c r="B109" i="1" s="1"/>
  <c r="B110" i="1" s="1"/>
  <c r="B111" i="1" s="1"/>
  <c r="B112" i="1" s="1"/>
  <c r="B97" i="1"/>
  <c r="B91" i="1"/>
  <c r="B75" i="1"/>
  <c r="B60" i="1"/>
  <c r="B45" i="1"/>
  <c r="A19" i="1"/>
  <c r="B31" i="1"/>
  <c r="E98" i="1"/>
  <c r="E97" i="1"/>
  <c r="E91" i="1"/>
  <c r="E90" i="1"/>
  <c r="E96" i="1"/>
  <c r="E95" i="1"/>
  <c r="E81" i="1"/>
  <c r="E80" i="1"/>
  <c r="E94" i="1"/>
  <c r="E93" i="1"/>
  <c r="E88" i="1"/>
  <c r="E89" i="1"/>
  <c r="A20" i="1" l="1"/>
  <c r="A21" i="1" s="1"/>
  <c r="A23" i="1" s="1"/>
  <c r="A24" i="1" s="1"/>
  <c r="A25" i="1" s="1"/>
  <c r="A26" i="1" s="1"/>
  <c r="A28" i="1" s="1"/>
  <c r="A29" i="1" s="1"/>
  <c r="A30" i="1" s="1"/>
  <c r="A31" i="1" s="1"/>
  <c r="A33" i="1" s="1"/>
  <c r="A34" i="1" s="1"/>
  <c r="A35" i="1" s="1"/>
  <c r="A36" i="1" s="1"/>
  <c r="A38" i="1" s="1"/>
  <c r="A39" i="1" s="1"/>
  <c r="A40" i="1" s="1"/>
  <c r="A41" i="1" s="1"/>
  <c r="A43" i="1" s="1"/>
  <c r="A44" i="1" s="1"/>
  <c r="A45" i="1" s="1"/>
  <c r="A46" i="1" s="1"/>
  <c r="A48" i="1" s="1"/>
  <c r="A49" i="1" s="1"/>
  <c r="A50" i="1" s="1"/>
  <c r="A51" i="1" s="1"/>
  <c r="A53" i="1" s="1"/>
  <c r="A54" i="1" s="1"/>
  <c r="A55" i="1" s="1"/>
  <c r="A56" i="1" s="1"/>
  <c r="A58" i="1" s="1"/>
  <c r="A59" i="1" s="1"/>
  <c r="A60" i="1" s="1"/>
  <c r="A61" i="1" s="1"/>
  <c r="A63" i="1" s="1"/>
  <c r="A64" i="1" s="1"/>
  <c r="A65" i="1" s="1"/>
  <c r="A66" i="1" s="1"/>
  <c r="A68" i="1" s="1"/>
  <c r="A69" i="1" s="1"/>
  <c r="A70" i="1" s="1"/>
  <c r="A71" i="1" s="1"/>
  <c r="A73" i="1" s="1"/>
  <c r="A74" i="1" s="1"/>
  <c r="A75" i="1" s="1"/>
  <c r="A76" i="1" s="1"/>
  <c r="A78" i="1" s="1"/>
  <c r="A79" i="1" s="1"/>
  <c r="A80" i="1" s="1"/>
  <c r="A81" i="1" s="1"/>
  <c r="A83" i="1" s="1"/>
  <c r="A84" i="1" s="1"/>
  <c r="A85" i="1" s="1"/>
  <c r="A86" i="1" s="1"/>
  <c r="A88" i="1" s="1"/>
  <c r="A89" i="1" s="1"/>
  <c r="A90" i="1" s="1"/>
  <c r="A91" i="1" s="1"/>
  <c r="A93" i="1" s="1"/>
  <c r="A94" i="1" s="1"/>
  <c r="A95" i="1" s="1"/>
  <c r="A96" i="1" s="1"/>
  <c r="A97" i="1" s="1"/>
  <c r="A98" i="1" s="1"/>
  <c r="B191" i="1"/>
  <c r="B192" i="1" s="1"/>
  <c r="B193" i="1" s="1"/>
  <c r="B194" i="1" s="1"/>
  <c r="B195" i="1" s="1"/>
  <c r="B196" i="1" s="1"/>
  <c r="B101" i="1"/>
  <c r="B103" i="1" s="1"/>
  <c r="B105" i="1" s="1"/>
  <c r="B177" i="1"/>
  <c r="B178" i="1" s="1"/>
  <c r="B179" i="1" s="1"/>
  <c r="B180" i="1" s="1"/>
  <c r="B181" i="1" s="1"/>
  <c r="B182" i="1" s="1"/>
  <c r="B102" i="1"/>
  <c r="B104" i="1" s="1"/>
  <c r="B143" i="1"/>
  <c r="B144" i="1" s="1"/>
  <c r="B145" i="1" s="1"/>
  <c r="B146" i="1" s="1"/>
  <c r="B147" i="1" s="1"/>
  <c r="C248" i="1"/>
  <c r="F248" i="1" s="1"/>
  <c r="C241" i="1"/>
  <c r="F241" i="1" s="1"/>
  <c r="F220" i="1"/>
  <c r="F213" i="1"/>
  <c r="C177" i="1"/>
  <c r="F177" i="1" s="1"/>
  <c r="F164" i="1"/>
  <c r="F157" i="1"/>
  <c r="E121" i="1"/>
  <c r="F150" i="1"/>
  <c r="E170" i="1"/>
  <c r="E233" i="1"/>
  <c r="F143" i="1"/>
  <c r="E115" i="1"/>
  <c r="C108" i="1"/>
  <c r="F108" i="1" s="1"/>
  <c r="C101" i="1"/>
  <c r="F101" i="1" s="1"/>
  <c r="C236" i="1"/>
  <c r="F236" i="1" s="1"/>
  <c r="C229" i="1"/>
  <c r="F229" i="1" s="1"/>
  <c r="F206" i="1"/>
  <c r="F199" i="1"/>
  <c r="C179" i="1"/>
  <c r="F179" i="1" s="1"/>
  <c r="F166" i="1"/>
  <c r="F159" i="1"/>
  <c r="E251" i="1"/>
  <c r="E172" i="1"/>
  <c r="E245" i="1"/>
  <c r="C126" i="1"/>
  <c r="F126" i="1" s="1"/>
  <c r="E107" i="1"/>
  <c r="E101" i="1"/>
  <c r="F140" i="1"/>
  <c r="C119" i="1"/>
  <c r="F119" i="1" s="1"/>
  <c r="C252" i="1"/>
  <c r="F252" i="1" s="1"/>
  <c r="C245" i="1"/>
  <c r="F245" i="1" s="1"/>
  <c r="F208" i="1"/>
  <c r="F201" i="1"/>
  <c r="C181" i="1"/>
  <c r="F181" i="1" s="1"/>
  <c r="F168" i="1"/>
  <c r="F161" i="1"/>
  <c r="F154" i="1"/>
  <c r="E237" i="1"/>
  <c r="E231" i="1"/>
  <c r="F147" i="1"/>
  <c r="E109" i="1"/>
  <c r="E103" i="1"/>
  <c r="C122" i="1"/>
  <c r="F122" i="1" s="1"/>
  <c r="C115" i="1"/>
  <c r="F115" i="1" s="1"/>
  <c r="B129" i="1"/>
  <c r="B130" i="1" s="1"/>
  <c r="B131" i="1" s="1"/>
  <c r="B132" i="1" s="1"/>
  <c r="B133" i="1" s="1"/>
  <c r="B135" i="1"/>
  <c r="B136" i="1" s="1"/>
  <c r="B137" i="1" s="1"/>
  <c r="B138" i="1" s="1"/>
  <c r="B139" i="1" s="1"/>
  <c r="B140" i="1" s="1"/>
  <c r="F133" i="1"/>
  <c r="B157" i="1"/>
  <c r="B158" i="1" s="1"/>
  <c r="B159" i="1" s="1"/>
  <c r="B160" i="1" s="1"/>
  <c r="B161" i="1" s="1"/>
  <c r="B163" i="1"/>
  <c r="B164" i="1" s="1"/>
  <c r="B165" i="1" s="1"/>
  <c r="B166" i="1" s="1"/>
  <c r="B167" i="1" s="1"/>
  <c r="B168" i="1" s="1"/>
  <c r="B199" i="1"/>
  <c r="B200" i="1" s="1"/>
  <c r="B201" i="1" s="1"/>
  <c r="B202" i="1" s="1"/>
  <c r="B203" i="1" s="1"/>
  <c r="B205" i="1"/>
  <c r="B206" i="1" s="1"/>
  <c r="B207" i="1" s="1"/>
  <c r="B208" i="1" s="1"/>
  <c r="B209" i="1" s="1"/>
  <c r="B210" i="1" s="1"/>
  <c r="C250" i="1"/>
  <c r="F250" i="1" s="1"/>
  <c r="C243" i="1"/>
  <c r="F243" i="1" s="1"/>
  <c r="F222" i="1"/>
  <c r="F215" i="1"/>
  <c r="F192" i="1"/>
  <c r="F185" i="1"/>
  <c r="C178" i="1"/>
  <c r="F178" i="1" s="1"/>
  <c r="E123" i="1"/>
  <c r="E235" i="1"/>
  <c r="E229" i="1"/>
  <c r="E171" i="1"/>
  <c r="F145" i="1"/>
  <c r="E117" i="1"/>
  <c r="C103" i="1"/>
  <c r="F103" i="1" s="1"/>
  <c r="F152" i="1"/>
  <c r="C110" i="1"/>
  <c r="F110" i="1" s="1"/>
  <c r="C238" i="1"/>
  <c r="F238" i="1" s="1"/>
  <c r="C231" i="1"/>
  <c r="F231" i="1" s="1"/>
  <c r="F210" i="1"/>
  <c r="F203" i="1"/>
  <c r="F194" i="1"/>
  <c r="F187" i="1"/>
  <c r="C180" i="1"/>
  <c r="F180" i="1" s="1"/>
  <c r="E247" i="1"/>
  <c r="E241" i="1"/>
  <c r="E173" i="1"/>
  <c r="F129" i="1"/>
  <c r="C124" i="1"/>
  <c r="F124" i="1" s="1"/>
  <c r="E111" i="1"/>
  <c r="E105" i="1"/>
  <c r="C117" i="1"/>
  <c r="F117" i="1" s="1"/>
  <c r="C234" i="1"/>
  <c r="F234" i="1" s="1"/>
  <c r="C227" i="1"/>
  <c r="F227" i="1" s="1"/>
  <c r="F224" i="1"/>
  <c r="F217" i="1"/>
  <c r="F196" i="1"/>
  <c r="F189" i="1"/>
  <c r="C182" i="1"/>
  <c r="F182" i="1" s="1"/>
  <c r="E249" i="1"/>
  <c r="E125" i="1"/>
  <c r="E119" i="1"/>
  <c r="E243" i="1"/>
  <c r="E175" i="1"/>
  <c r="F131" i="1"/>
  <c r="F138" i="1"/>
  <c r="C112" i="1"/>
  <c r="F112" i="1" s="1"/>
  <c r="C105" i="1"/>
  <c r="F105" i="1" s="1"/>
  <c r="B115" i="1"/>
  <c r="B116" i="1" s="1"/>
  <c r="B117" i="1" s="1"/>
  <c r="B118" i="1" s="1"/>
  <c r="B119" i="1" s="1"/>
  <c r="F136" i="1"/>
  <c r="E174" i="1"/>
  <c r="B21" i="1"/>
  <c r="B24" i="1"/>
  <c r="B26" i="1"/>
  <c r="B30" i="1"/>
  <c r="B35" i="1"/>
  <c r="B38" i="1"/>
  <c r="B41" i="1"/>
  <c r="B44" i="1"/>
  <c r="B46" i="1"/>
  <c r="B49" i="1"/>
  <c r="B51" i="1"/>
  <c r="B55" i="1"/>
  <c r="B59" i="1"/>
  <c r="B61" i="1"/>
  <c r="B64" i="1"/>
  <c r="B66" i="1"/>
  <c r="B69" i="1"/>
  <c r="B71" i="1"/>
  <c r="B74" i="1"/>
  <c r="B76" i="1"/>
  <c r="B80" i="1"/>
  <c r="B96" i="1"/>
  <c r="B98" i="1"/>
  <c r="B19" i="1"/>
  <c r="B20" i="1"/>
  <c r="B23" i="1"/>
  <c r="B25" i="1"/>
  <c r="B28" i="1"/>
  <c r="B29" i="1"/>
  <c r="B34" i="1"/>
  <c r="B36" i="1"/>
  <c r="B39" i="1"/>
  <c r="B40" i="1"/>
  <c r="B43" i="1"/>
  <c r="B50" i="1"/>
  <c r="B53" i="1"/>
  <c r="B54" i="1"/>
  <c r="B56" i="1"/>
  <c r="B58" i="1"/>
  <c r="B65" i="1"/>
  <c r="B68" i="1"/>
  <c r="B70" i="1"/>
  <c r="B73" i="1"/>
  <c r="B79" i="1"/>
  <c r="B81" i="1"/>
  <c r="B83" i="1"/>
  <c r="B84" i="1"/>
  <c r="B85" i="1"/>
  <c r="B86" i="1"/>
  <c r="B88" i="1"/>
  <c r="B89" i="1"/>
  <c r="B90" i="1"/>
  <c r="B94" i="1"/>
  <c r="B95" i="1"/>
  <c r="C247" i="1"/>
  <c r="F247" i="1" s="1"/>
  <c r="C240" i="1"/>
  <c r="F240" i="1" s="1"/>
  <c r="F219" i="1"/>
  <c r="F212" i="1"/>
  <c r="C170" i="1"/>
  <c r="F170" i="1" s="1"/>
  <c r="F163" i="1"/>
  <c r="F156" i="1"/>
  <c r="E177" i="1"/>
  <c r="E122" i="1"/>
  <c r="E226" i="1"/>
  <c r="E234" i="1"/>
  <c r="F142" i="1"/>
  <c r="C249" i="1"/>
  <c r="F249" i="1" s="1"/>
  <c r="C242" i="1"/>
  <c r="F242" i="1" s="1"/>
  <c r="F221" i="1"/>
  <c r="F214" i="1"/>
  <c r="F191" i="1"/>
  <c r="F184" i="1"/>
  <c r="C171" i="1"/>
  <c r="F171" i="1" s="1"/>
  <c r="E124" i="1"/>
  <c r="E228" i="1"/>
  <c r="F151" i="1"/>
  <c r="C235" i="1"/>
  <c r="F235" i="1" s="1"/>
  <c r="C228" i="1"/>
  <c r="F228" i="1" s="1"/>
  <c r="F205" i="1"/>
  <c r="F198" i="1"/>
  <c r="C172" i="1"/>
  <c r="F172" i="1" s="1"/>
  <c r="F165" i="1"/>
  <c r="F158" i="1"/>
  <c r="E244" i="1"/>
  <c r="E252" i="1"/>
  <c r="E179" i="1"/>
  <c r="F132" i="1"/>
  <c r="C237" i="1"/>
  <c r="F237" i="1" s="1"/>
  <c r="C230" i="1"/>
  <c r="F230" i="1" s="1"/>
  <c r="F209" i="1"/>
  <c r="F202" i="1"/>
  <c r="F193" i="1"/>
  <c r="F186" i="1"/>
  <c r="C173" i="1"/>
  <c r="F173" i="1" s="1"/>
  <c r="E240" i="1"/>
  <c r="F128" i="1"/>
  <c r="C123" i="1"/>
  <c r="F123" i="1" s="1"/>
  <c r="C251" i="1"/>
  <c r="F251" i="1" s="1"/>
  <c r="C244" i="1"/>
  <c r="F244" i="1" s="1"/>
  <c r="F207" i="1"/>
  <c r="F200" i="1"/>
  <c r="C174" i="1"/>
  <c r="F174" i="1" s="1"/>
  <c r="F167" i="1"/>
  <c r="F160" i="1"/>
  <c r="E181" i="1"/>
  <c r="E238" i="1"/>
  <c r="E230" i="1"/>
  <c r="F146" i="1"/>
  <c r="C233" i="1"/>
  <c r="F233" i="1" s="1"/>
  <c r="C226" i="1"/>
  <c r="F226" i="1" s="1"/>
  <c r="F223" i="1"/>
  <c r="F216" i="1"/>
  <c r="F195" i="1"/>
  <c r="F188" i="1"/>
  <c r="C175" i="1"/>
  <c r="F175" i="1" s="1"/>
  <c r="E242" i="1"/>
  <c r="E126" i="1"/>
  <c r="E250" i="1"/>
  <c r="F137" i="1"/>
  <c r="C18" i="1"/>
  <c r="C19" i="1"/>
  <c r="C20" i="1"/>
  <c r="C21" i="1"/>
  <c r="C23" i="1"/>
  <c r="C24" i="1"/>
  <c r="C25" i="1"/>
  <c r="C26" i="1"/>
  <c r="C28" i="1"/>
  <c r="C29" i="1"/>
  <c r="C30" i="1"/>
  <c r="C31" i="1"/>
  <c r="C33" i="1"/>
  <c r="C34" i="1"/>
  <c r="C35" i="1"/>
  <c r="C36" i="1"/>
  <c r="C38" i="1"/>
  <c r="C39" i="1"/>
  <c r="C40" i="1"/>
  <c r="C41" i="1"/>
  <c r="C43" i="1"/>
  <c r="C44" i="1"/>
  <c r="C45" i="1"/>
  <c r="C46" i="1"/>
  <c r="C48" i="1"/>
  <c r="C49" i="1"/>
  <c r="C50" i="1"/>
  <c r="C51" i="1"/>
  <c r="C53" i="1"/>
  <c r="C54" i="1"/>
  <c r="C55" i="1"/>
  <c r="C56" i="1"/>
  <c r="C58" i="1"/>
  <c r="C59" i="1"/>
  <c r="C60" i="1"/>
  <c r="C61" i="1"/>
  <c r="C63" i="1"/>
  <c r="C64" i="1"/>
  <c r="C65" i="1"/>
  <c r="C66" i="1"/>
  <c r="C68" i="1"/>
  <c r="C69" i="1"/>
  <c r="C70" i="1"/>
  <c r="C71" i="1"/>
  <c r="C73" i="1"/>
  <c r="C74" i="1"/>
  <c r="C75" i="1"/>
  <c r="C76" i="1"/>
  <c r="C78" i="1"/>
  <c r="C79" i="1"/>
  <c r="C80" i="1"/>
  <c r="C81" i="1"/>
  <c r="C83" i="1"/>
  <c r="C84" i="1"/>
  <c r="C85" i="1"/>
  <c r="C86" i="1"/>
  <c r="C88" i="1"/>
  <c r="C89" i="1"/>
  <c r="C90" i="1"/>
  <c r="C91" i="1"/>
  <c r="C93" i="1"/>
  <c r="C94" i="1"/>
  <c r="C95" i="1"/>
  <c r="C96" i="1"/>
  <c r="C97" i="1"/>
  <c r="C98" i="1"/>
  <c r="E100" i="1"/>
  <c r="E102" i="1"/>
  <c r="E104" i="1"/>
  <c r="E108" i="1"/>
  <c r="E110" i="1"/>
  <c r="E112" i="1"/>
  <c r="E114" i="1"/>
  <c r="E116" i="1"/>
  <c r="E118" i="1"/>
  <c r="F135" i="1"/>
  <c r="F153" i="1"/>
  <c r="E18" i="1"/>
  <c r="E19" i="1"/>
  <c r="E20" i="1"/>
  <c r="E21" i="1"/>
  <c r="E23" i="1"/>
  <c r="E24" i="1"/>
  <c r="E25" i="1"/>
  <c r="E26" i="1"/>
  <c r="E28" i="1"/>
  <c r="E29" i="1"/>
  <c r="E30" i="1"/>
  <c r="E31" i="1"/>
  <c r="E33" i="1"/>
  <c r="E34" i="1"/>
  <c r="E35" i="1"/>
  <c r="E36" i="1"/>
  <c r="E38" i="1"/>
  <c r="E39" i="1"/>
  <c r="E40" i="1"/>
  <c r="E41" i="1"/>
  <c r="E43" i="1"/>
  <c r="E44" i="1"/>
  <c r="E45" i="1"/>
  <c r="E46" i="1"/>
  <c r="E48" i="1"/>
  <c r="E49" i="1"/>
  <c r="E50" i="1"/>
  <c r="E51" i="1"/>
  <c r="E53" i="1"/>
  <c r="E54" i="1"/>
  <c r="E55" i="1"/>
  <c r="E56" i="1"/>
  <c r="E58" i="1"/>
  <c r="E59" i="1"/>
  <c r="E60" i="1"/>
  <c r="E61" i="1"/>
  <c r="E63" i="1"/>
  <c r="E64" i="1"/>
  <c r="E65" i="1"/>
  <c r="E66" i="1"/>
  <c r="E68" i="1"/>
  <c r="E69" i="1"/>
  <c r="E70" i="1"/>
  <c r="E71" i="1"/>
  <c r="E73" i="1"/>
  <c r="E74" i="1"/>
  <c r="E75" i="1"/>
  <c r="E76" i="1"/>
  <c r="E78" i="1"/>
  <c r="E79" i="1"/>
  <c r="E83" i="1"/>
  <c r="E84" i="1"/>
  <c r="E85" i="1"/>
  <c r="E86" i="1"/>
  <c r="E178" i="1"/>
  <c r="E236" i="1"/>
  <c r="B399" i="1"/>
  <c r="B397" i="1"/>
  <c r="B396" i="1"/>
  <c r="B395" i="1"/>
  <c r="B255" i="1"/>
  <c r="B256" i="1"/>
  <c r="B257" i="1"/>
  <c r="B259" i="1"/>
  <c r="B409" i="1"/>
  <c r="B407" i="1"/>
  <c r="B406" i="1"/>
  <c r="B405" i="1"/>
  <c r="B265" i="1"/>
  <c r="B266" i="1"/>
  <c r="B267" i="1"/>
  <c r="B269" i="1"/>
  <c r="B414" i="1"/>
  <c r="B344" i="1"/>
  <c r="B275" i="1"/>
  <c r="B276" i="1"/>
  <c r="B277" i="1"/>
  <c r="B279" i="1"/>
  <c r="B424" i="1"/>
  <c r="B354" i="1"/>
  <c r="B285" i="1"/>
  <c r="B286" i="1"/>
  <c r="B287" i="1"/>
  <c r="B289" i="1"/>
  <c r="B434" i="1"/>
  <c r="B364" i="1"/>
  <c r="B295" i="1"/>
  <c r="B296" i="1"/>
  <c r="B297" i="1"/>
  <c r="B299" i="1"/>
  <c r="B444" i="1"/>
  <c r="B374" i="1"/>
  <c r="B305" i="1"/>
  <c r="B306" i="1"/>
  <c r="B307" i="1"/>
  <c r="B309" i="1"/>
  <c r="B454" i="1"/>
  <c r="B384" i="1"/>
  <c r="B315" i="1"/>
  <c r="B316" i="1"/>
  <c r="B317" i="1"/>
  <c r="B319" i="1"/>
  <c r="B324" i="1"/>
  <c r="B334" i="1"/>
  <c r="B213" i="1"/>
  <c r="B214" i="1" s="1"/>
  <c r="B215" i="1" s="1"/>
  <c r="B216" i="1" s="1"/>
  <c r="B217" i="1" s="1"/>
  <c r="B227" i="1"/>
  <c r="B228" i="1" s="1"/>
  <c r="B229" i="1" s="1"/>
  <c r="B230" i="1" s="1"/>
  <c r="B231" i="1" s="1"/>
  <c r="B241" i="1"/>
  <c r="B242" i="1" s="1"/>
  <c r="B243" i="1" s="1"/>
  <c r="B244" i="1" s="1"/>
  <c r="B245" i="1" s="1"/>
  <c r="F19" i="1"/>
  <c r="F20" i="1"/>
  <c r="F21" i="1"/>
  <c r="B322" i="1" l="1"/>
  <c r="B321" i="1"/>
  <c r="B320" i="1"/>
  <c r="B302" i="1"/>
  <c r="B301" i="1"/>
  <c r="B300" i="1"/>
  <c r="B349" i="1"/>
  <c r="B347" i="1"/>
  <c r="B346" i="1"/>
  <c r="B345" i="1"/>
  <c r="B459" i="1"/>
  <c r="B457" i="1"/>
  <c r="B456" i="1"/>
  <c r="B455" i="1"/>
  <c r="B439" i="1"/>
  <c r="B437" i="1"/>
  <c r="B436" i="1"/>
  <c r="B435" i="1"/>
  <c r="B419" i="1"/>
  <c r="B417" i="1"/>
  <c r="B416" i="1"/>
  <c r="B415" i="1"/>
  <c r="B412" i="1"/>
  <c r="B411" i="1"/>
  <c r="B410" i="1"/>
  <c r="B402" i="1"/>
  <c r="B401" i="1"/>
  <c r="B400" i="1"/>
  <c r="B339" i="1"/>
  <c r="B337" i="1"/>
  <c r="B336" i="1"/>
  <c r="B335" i="1"/>
  <c r="B312" i="1"/>
  <c r="B311" i="1"/>
  <c r="B310" i="1"/>
  <c r="B379" i="1"/>
  <c r="B377" i="1"/>
  <c r="B376" i="1"/>
  <c r="B375" i="1"/>
  <c r="B292" i="1"/>
  <c r="B291" i="1"/>
  <c r="B290" i="1"/>
  <c r="B359" i="1"/>
  <c r="B357" i="1"/>
  <c r="B356" i="1"/>
  <c r="B355" i="1"/>
  <c r="B272" i="1"/>
  <c r="B271" i="1"/>
  <c r="B270" i="1"/>
  <c r="B262" i="1"/>
  <c r="B261" i="1"/>
  <c r="B260" i="1"/>
  <c r="B389" i="1"/>
  <c r="B387" i="1"/>
  <c r="B386" i="1"/>
  <c r="B385" i="1"/>
  <c r="B369" i="1"/>
  <c r="B367" i="1"/>
  <c r="B366" i="1"/>
  <c r="B365" i="1"/>
  <c r="B282" i="1"/>
  <c r="B281" i="1"/>
  <c r="B280" i="1"/>
  <c r="B329" i="1"/>
  <c r="B327" i="1"/>
  <c r="B326" i="1"/>
  <c r="B325" i="1"/>
  <c r="B449" i="1"/>
  <c r="B447" i="1"/>
  <c r="B446" i="1"/>
  <c r="B445" i="1"/>
  <c r="B429" i="1"/>
  <c r="B427" i="1"/>
  <c r="B426" i="1"/>
  <c r="B425" i="1"/>
  <c r="F91" i="1"/>
  <c r="F90" i="1"/>
  <c r="F89" i="1"/>
  <c r="F86" i="1"/>
  <c r="F85" i="1"/>
  <c r="F84" i="1"/>
  <c r="F81" i="1"/>
  <c r="F80" i="1"/>
  <c r="F79" i="1"/>
  <c r="F76" i="1"/>
  <c r="F75" i="1"/>
  <c r="F74" i="1"/>
  <c r="F71" i="1"/>
  <c r="F70" i="1"/>
  <c r="F69" i="1"/>
  <c r="F66" i="1"/>
  <c r="F65" i="1"/>
  <c r="F64" i="1"/>
  <c r="F61" i="1"/>
  <c r="F60" i="1"/>
  <c r="F59" i="1"/>
  <c r="F98" i="1"/>
  <c r="F97" i="1"/>
  <c r="F96" i="1"/>
  <c r="F95" i="1"/>
  <c r="F94" i="1"/>
  <c r="F56" i="1"/>
  <c r="F55" i="1"/>
  <c r="F54" i="1"/>
  <c r="F51" i="1"/>
  <c r="F50" i="1"/>
  <c r="F49" i="1"/>
  <c r="F46" i="1"/>
  <c r="F45" i="1"/>
  <c r="F44" i="1"/>
  <c r="F41" i="1"/>
  <c r="F40" i="1"/>
  <c r="F39" i="1"/>
  <c r="F36" i="1"/>
  <c r="F35" i="1"/>
  <c r="F34" i="1"/>
  <c r="F31" i="1"/>
  <c r="F30" i="1"/>
  <c r="F29" i="1"/>
  <c r="F26" i="1"/>
  <c r="F25" i="1"/>
  <c r="F24" i="1"/>
  <c r="B392" i="1" l="1"/>
  <c r="B391" i="1"/>
  <c r="B390" i="1"/>
  <c r="B342" i="1"/>
  <c r="B341" i="1"/>
  <c r="B340" i="1"/>
  <c r="B432" i="1"/>
  <c r="B431" i="1"/>
  <c r="B430" i="1"/>
  <c r="B332" i="1"/>
  <c r="B331" i="1"/>
  <c r="B330" i="1"/>
  <c r="B362" i="1"/>
  <c r="B361" i="1"/>
  <c r="B360" i="1"/>
  <c r="B422" i="1"/>
  <c r="B421" i="1"/>
  <c r="B420" i="1"/>
  <c r="B442" i="1"/>
  <c r="B441" i="1"/>
  <c r="B440" i="1"/>
  <c r="B462" i="1"/>
  <c r="B461" i="1"/>
  <c r="B460" i="1"/>
  <c r="B352" i="1"/>
  <c r="B351" i="1"/>
  <c r="B350" i="1"/>
  <c r="B452" i="1"/>
  <c r="B451" i="1"/>
  <c r="B450" i="1"/>
  <c r="B382" i="1"/>
  <c r="B381" i="1"/>
  <c r="B380" i="1"/>
  <c r="B372" i="1"/>
  <c r="B371" i="1"/>
  <c r="B370" i="1"/>
  <c r="F218" i="1" l="1"/>
  <c r="F211" i="1"/>
  <c r="F197" i="1"/>
  <c r="F190" i="1"/>
  <c r="F183" i="1"/>
  <c r="U46" i="7" l="1"/>
  <c r="U44" i="7"/>
  <c r="R42" i="7"/>
  <c r="U22" i="7" l="1"/>
  <c r="AO21" i="7" l="1"/>
  <c r="AO20" i="7"/>
  <c r="AO19" i="7"/>
  <c r="AO18" i="7"/>
  <c r="AO17" i="7"/>
  <c r="AO16" i="7"/>
  <c r="AN16" i="7"/>
  <c r="AN21" i="7"/>
  <c r="AN20" i="7"/>
  <c r="AN19" i="7"/>
  <c r="AN18" i="7"/>
  <c r="AN17" i="7"/>
  <c r="N25" i="7" l="1"/>
  <c r="AF25" i="7"/>
  <c r="AF23" i="7" l="1"/>
  <c r="N23" i="7"/>
  <c r="Q25" i="7" l="1"/>
  <c r="AI23" i="7" s="1"/>
  <c r="AI25" i="7"/>
  <c r="Q23" i="7" s="1"/>
  <c r="AC7" i="7" l="1"/>
  <c r="N37" i="7" l="1"/>
  <c r="AD31" i="7"/>
  <c r="C37" i="7"/>
  <c r="N33" i="7"/>
  <c r="C33" i="7"/>
  <c r="U31" i="7"/>
  <c r="D31" i="8"/>
  <c r="O39" i="8"/>
  <c r="O37" i="8"/>
  <c r="O38" i="8"/>
  <c r="R38" i="8" l="1"/>
  <c r="P39" i="8"/>
  <c r="R37" i="8"/>
  <c r="R39" i="8"/>
  <c r="P37" i="8"/>
  <c r="P38" i="8"/>
  <c r="P40" i="8" l="1"/>
  <c r="M38" i="8" s="1"/>
  <c r="M39" i="8" s="1"/>
  <c r="R40" i="8"/>
  <c r="N38" i="8" s="1"/>
  <c r="N39" i="8" s="1"/>
  <c r="H32" i="8" s="1"/>
  <c r="D32" i="8" l="1"/>
  <c r="H51" i="8"/>
  <c r="N58" i="8" l="1"/>
  <c r="N59" i="8" s="1"/>
  <c r="H52" i="8" s="1"/>
  <c r="U26" i="7" s="1"/>
  <c r="M58" i="8"/>
  <c r="M59" i="8" s="1"/>
  <c r="D52" i="8" s="1"/>
  <c r="Q26" i="7" s="1"/>
</calcChain>
</file>

<file path=xl/sharedStrings.xml><?xml version="1.0" encoding="utf-8"?>
<sst xmlns="http://schemas.openxmlformats.org/spreadsheetml/2006/main" count="617" uniqueCount="174">
  <si>
    <t>Damen</t>
  </si>
  <si>
    <t>SpG FE 27 / Hansa Berlin</t>
  </si>
  <si>
    <t>KV Hansa Stralsund</t>
  </si>
  <si>
    <t>SV Blau-Weiß 76 Stavenhagen</t>
  </si>
  <si>
    <t>SV Binde</t>
  </si>
  <si>
    <t>SV 90 Fehrbellin</t>
  </si>
  <si>
    <t>Sportfreunde Husum</t>
  </si>
  <si>
    <t>Verein Itzehoer Sportkegler</t>
  </si>
  <si>
    <t>SG Sparta / KSG Berlin</t>
  </si>
  <si>
    <t>SVL Seedorf von 1919</t>
  </si>
  <si>
    <t>KC Einheit 95 Schwerin</t>
  </si>
  <si>
    <t>KSK Oldenburg / Holstein</t>
  </si>
  <si>
    <t>KSC Carat Bremen</t>
  </si>
  <si>
    <t>SKV Bergedorf</t>
  </si>
  <si>
    <t>SG Union Oberschöneweide II</t>
  </si>
  <si>
    <t>Grün-Weiß Cuxhaven</t>
  </si>
  <si>
    <t>KSK Rivalen Hannover</t>
  </si>
  <si>
    <t>-</t>
  </si>
  <si>
    <t>VHK-Kegelsporthalle Husum</t>
  </si>
  <si>
    <t>Kegelsporthalle Pinneberg</t>
  </si>
  <si>
    <t>Kegelzentrum Cuxhaven</t>
  </si>
  <si>
    <t>Herren</t>
  </si>
  <si>
    <t>Name</t>
  </si>
  <si>
    <t>Holzzahl</t>
  </si>
  <si>
    <t>Klubhaus Einheit Schwerin</t>
  </si>
  <si>
    <t>Kegelcenter &amp; Sportsbar Hannover</t>
  </si>
  <si>
    <t>ETV – Vereinsheim Kiel</t>
  </si>
  <si>
    <t>Bundeskegelbahn Stralsund</t>
  </si>
  <si>
    <t>Kegelbahn SVL Seedorf</t>
  </si>
  <si>
    <t>Haus des Sports Kiel</t>
  </si>
  <si>
    <t>Kegelbahn Michendorf</t>
  </si>
  <si>
    <t>Kegelcenter Lok Schöneweide Berlin</t>
  </si>
  <si>
    <t>Kegelhalle Arendsee</t>
  </si>
  <si>
    <t>Deutscher Bohle Kegler Verband e.V.</t>
  </si>
  <si>
    <t>Spielbericht - Bundesliga</t>
  </si>
  <si>
    <t>Spiel-Nr.</t>
  </si>
  <si>
    <t>Datum</t>
  </si>
  <si>
    <t>Kegelhalle</t>
  </si>
  <si>
    <t>Start-
folge</t>
  </si>
  <si>
    <t>Vor- und Zuname</t>
  </si>
  <si>
    <t>EW-
Punkte</t>
  </si>
  <si>
    <t>Summe:</t>
  </si>
  <si>
    <t>Spielergebnis:</t>
  </si>
  <si>
    <t>:</t>
  </si>
  <si>
    <t>Es wurde mit Ergebnisdrucker gewertet:</t>
  </si>
  <si>
    <t>1  -  4</t>
  </si>
  <si>
    <t>Unterschriften:</t>
  </si>
  <si>
    <t>Der Schiedsrichter hat die Pflicht:</t>
  </si>
  <si>
    <t>1  -  8</t>
  </si>
  <si>
    <t>1  -  12</t>
  </si>
  <si>
    <t>1 - 2  +  5 - 6</t>
  </si>
  <si>
    <t>3  -  6</t>
  </si>
  <si>
    <t>5  -  8</t>
  </si>
  <si>
    <t>5  -  12</t>
  </si>
  <si>
    <t>9  -  12</t>
  </si>
  <si>
    <t>13  -  20</t>
  </si>
  <si>
    <t>15  -  22</t>
  </si>
  <si>
    <t>17  -  24</t>
  </si>
  <si>
    <t>19  -  26</t>
  </si>
  <si>
    <t>21  -  28</t>
  </si>
  <si>
    <t>in Druckschrift</t>
  </si>
  <si>
    <t>Heim</t>
  </si>
  <si>
    <t>Schiedsrichter</t>
  </si>
  <si>
    <t>KSC Schwarz-Weiss Berlin</t>
  </si>
  <si>
    <t>Willi-Sänger-Stadion Berlin</t>
  </si>
  <si>
    <t>Robert von Siemens Sporthalle Berlin</t>
  </si>
  <si>
    <t>SG Union Oberschöneweide</t>
  </si>
  <si>
    <t>KC Rot-Weiss Seyda</t>
  </si>
  <si>
    <t>1. KSV Vetschau</t>
  </si>
  <si>
    <t>Kegelsportzentrum Lüneburg</t>
  </si>
  <si>
    <t>Kegelsporthalle Peiner Keglerverein</t>
  </si>
  <si>
    <t>Kegelsportzentrum Neukloster</t>
  </si>
  <si>
    <t>Gaststätte "Goldener Stern" Vetschau</t>
  </si>
  <si>
    <t>Kegelsporthalle Holstenhof Hamburg</t>
  </si>
  <si>
    <t>Kegel- und Bowlingcenter Oldenburg i. H.</t>
  </si>
  <si>
    <t>MSC Waren</t>
  </si>
  <si>
    <t>Kegelsporthalle 1. SC Norderstedt</t>
  </si>
  <si>
    <t>11  -  18</t>
  </si>
  <si>
    <t>1. Bundesliga Herren Staffel 1</t>
  </si>
  <si>
    <t>2. Bundesliga Herren Staffel 1</t>
  </si>
  <si>
    <t>2. Bundesliga Herren Staffel 2</t>
  </si>
  <si>
    <t>2. Bundesliga Herren Staffel 3</t>
  </si>
  <si>
    <t>SG Michendorf / Seddin</t>
  </si>
  <si>
    <t>KSZ Hämmerlingstraße Berlin</t>
  </si>
  <si>
    <t>KSG Cuxhaven / Stade</t>
  </si>
  <si>
    <t>KSG Lüneburg</t>
  </si>
  <si>
    <t>SG Pinneberg</t>
  </si>
  <si>
    <t>Kegelbahn Greifswalder KV</t>
  </si>
  <si>
    <t>SG Derenburg / Ilsenburg</t>
  </si>
  <si>
    <t>MPSV 95 Königs Wusterhausen</t>
  </si>
  <si>
    <t>Sportzentrum Friedrichshain Berlin</t>
  </si>
  <si>
    <t>Rudi Steckel Kegelhalle Derenburg</t>
  </si>
  <si>
    <t>Stadion der Freundschaft Königs Wusterhausen</t>
  </si>
  <si>
    <t>Disziplinverband im Deutschen Kegler- und Bowlingbund e.V.</t>
  </si>
  <si>
    <t xml:space="preserve"> ja</t>
  </si>
  <si>
    <t>Spielerpässe in Ordnung:</t>
  </si>
  <si>
    <t xml:space="preserve"> nein</t>
  </si>
  <si>
    <t>gegen</t>
  </si>
  <si>
    <t>Spielbahnen-Nr. angeben:</t>
  </si>
  <si>
    <t>X</t>
  </si>
  <si>
    <t>Gast</t>
  </si>
  <si>
    <t>1.</t>
  </si>
  <si>
    <t>2.</t>
  </si>
  <si>
    <t>Nachfolgende Spieler/innen spielten mit eigenen Kugeln:</t>
  </si>
  <si>
    <t>Nachfolgende Mannschaft spielte mit eigenen Kugeln:</t>
  </si>
  <si>
    <t>Vorkommnisse</t>
  </si>
  <si>
    <t>Die Eintragungen im Liveticker zu kontrollieren, nach Möglichkeit im Beisein beider Mannschaftsleiter und bei Bedarf zu korrigieren.</t>
  </si>
  <si>
    <t>lagen vor:</t>
  </si>
  <si>
    <t>Nachweis DKB-Anti-Doping-Vereinbarungen</t>
  </si>
  <si>
    <t>Bei Ausfall des "Bundesliga-Livetickers" oder der Technik für den "Bundesliga-Liveticker" unmittelbar nach Spielschluss dem Bundesliga-Spielleiter das Spielergebnis telefonisch durchzugeben.</t>
  </si>
  <si>
    <t>17  -  20</t>
  </si>
  <si>
    <t>Kegelsportanlage "Völkerfreundschaft" Berlin</t>
  </si>
  <si>
    <t>SpG Adlershof / Lichtenberg 47</t>
  </si>
  <si>
    <t>KSV Pasewalk</t>
  </si>
  <si>
    <t>SG LTS / KCN Bremerhaven</t>
  </si>
  <si>
    <t>Für jedes Spiel ist ein Spielbericht anzufertigen, der von den Mannschaftsleitern der beteiligten Klubs und dem Schiedsrichter zu unterschreiben ist. Der Schiedsrichter bewahrt das Original bis zum Saisonende (30.06. d.J.) auf.</t>
  </si>
  <si>
    <t>BL Damen</t>
  </si>
  <si>
    <t>SG Sportkegler Kiel</t>
  </si>
  <si>
    <t>SpG Eberswalde</t>
  </si>
  <si>
    <t>Kegelsporthalle des Vereins Segeberger Kegler</t>
  </si>
  <si>
    <t>Kegelhalle Verein Celler Kegler</t>
  </si>
  <si>
    <t>Kegelsporthalle "Holstenhof"</t>
  </si>
  <si>
    <t>Sportzentrum Elmshorn</t>
  </si>
  <si>
    <t>Hotel-Restaurant Goldenstedt</t>
  </si>
  <si>
    <t>Stadthalle Winsen / Luhe</t>
  </si>
  <si>
    <t>Kegel- und Schießsportzentrum Uelzen</t>
  </si>
  <si>
    <t>Bundesliga Damen</t>
  </si>
  <si>
    <t>1. Bundesliga Herren</t>
  </si>
  <si>
    <t>NKC 72 Berlin</t>
  </si>
  <si>
    <t>SG Sportkegler Kiel II</t>
  </si>
  <si>
    <t>SG Bremen</t>
  </si>
  <si>
    <t>SG EBT / Eintracht Berlin</t>
  </si>
  <si>
    <t>SG Eberswalde</t>
  </si>
  <si>
    <t>Friedrich-Ludwig-Jahn-Halle Stavenhagen</t>
  </si>
  <si>
    <t>Kegelsportstätte SV 90 Fehrbellin</t>
  </si>
  <si>
    <t>Gaststätte "Taverna Smyrna" Münsterdorf</t>
  </si>
  <si>
    <t>Eberswalder Westendstadion</t>
  </si>
  <si>
    <t>Kegelbahn Treuenbrietzen</t>
  </si>
  <si>
    <t>1. BL Herren</t>
  </si>
  <si>
    <t>EW</t>
  </si>
  <si>
    <t>Damen - letzter Spieltag</t>
  </si>
  <si>
    <t>3.  Die Spiel-, Zusatz- und Einzelwertungspunkte und das Spielergebnis werden</t>
  </si>
  <si>
    <r>
      <t xml:space="preserve">4.  Im Blatt "Formular" </t>
    </r>
    <r>
      <rPr>
        <b/>
        <u/>
        <sz val="12"/>
        <color indexed="18"/>
        <rFont val="Arial"/>
        <family val="2"/>
      </rPr>
      <t>nur</t>
    </r>
    <r>
      <rPr>
        <sz val="12"/>
        <rFont val="Arial"/>
        <family val="2"/>
      </rPr>
      <t xml:space="preserve"> die Spiel-Nr. eintragen und die Eingabe entweder mit der</t>
    </r>
  </si>
  <si>
    <r>
      <t xml:space="preserve">1.  Die Excel-Datei ist ausgelegt für Office 2007 und höher und arbeitet </t>
    </r>
    <r>
      <rPr>
        <b/>
        <sz val="12"/>
        <rFont val="Arial"/>
        <family val="2"/>
      </rPr>
      <t>ohne</t>
    </r>
    <r>
      <rPr>
        <sz val="12"/>
        <rFont val="Arial"/>
        <family val="2"/>
      </rPr>
      <t xml:space="preserve"> Makros.</t>
    </r>
  </si>
  <si>
    <r>
      <t xml:space="preserve">2.  Das Formular ist durch ein Kennwort geschützt. Blattschutz aufheben mit Kennwort: </t>
    </r>
    <r>
      <rPr>
        <b/>
        <sz val="12"/>
        <rFont val="Arial"/>
        <family val="2"/>
      </rPr>
      <t>LL</t>
    </r>
  </si>
  <si>
    <r>
      <t xml:space="preserve">    </t>
    </r>
    <r>
      <rPr>
        <b/>
        <sz val="12"/>
        <rFont val="Arial"/>
        <family val="2"/>
      </rPr>
      <t xml:space="preserve">       programmgesteuert ermittelt</t>
    </r>
    <r>
      <rPr>
        <sz val="12"/>
        <rFont val="Arial"/>
        <family val="2"/>
      </rPr>
      <t>.</t>
    </r>
  </si>
  <si>
    <t xml:space="preserve">           Tabulatortaste (ganz links auf der PC-Tastatur) oder der Pfeiltaste "rechts" abschließen.</t>
  </si>
  <si>
    <t xml:space="preserve">           Der Cursor springt dann in die nächste freie Zelle.</t>
  </si>
  <si>
    <r>
      <t xml:space="preserve">           Das Datum, die Kegelhalle, sowie die Heim- und Gastmannschaft werden </t>
    </r>
    <r>
      <rPr>
        <b/>
        <sz val="12"/>
        <rFont val="Arial"/>
        <family val="2"/>
      </rPr>
      <t>automatisch</t>
    </r>
  </si>
  <si>
    <r>
      <t xml:space="preserve">           eingetragen und die Spielklasse (z.B. 2. BL Herren Staffel 1) </t>
    </r>
    <r>
      <rPr>
        <b/>
        <sz val="12"/>
        <rFont val="Arial"/>
        <family val="2"/>
      </rPr>
      <t>automatisch</t>
    </r>
    <r>
      <rPr>
        <sz val="12"/>
        <rFont val="Arial"/>
        <family val="2"/>
      </rPr>
      <t xml:space="preserve"> ausgewählt.</t>
    </r>
  </si>
  <si>
    <t xml:space="preserve">           damit die Originaldatei erhalten bleibt.</t>
  </si>
  <si>
    <t>Erläuterungen:</t>
  </si>
  <si>
    <t>5.  Wird ein Einwechselspieler / eine Einwechselspielerin eingesetzt, dann in der Zelle</t>
  </si>
  <si>
    <t xml:space="preserve">           In der Zelle darunter die Startfolge-Nr. des ausgewechselten Spielers /</t>
  </si>
  <si>
    <r>
      <t xml:space="preserve">           unter </t>
    </r>
    <r>
      <rPr>
        <b/>
        <sz val="12"/>
        <rFont val="Arial"/>
        <family val="2"/>
      </rPr>
      <t>AW</t>
    </r>
    <r>
      <rPr>
        <sz val="12"/>
        <rFont val="Arial"/>
        <family val="2"/>
      </rPr>
      <t xml:space="preserve"> eintragen, ab welchem Wurf ausgewechselt wurde, z.B. </t>
    </r>
    <r>
      <rPr>
        <b/>
        <sz val="12"/>
        <rFont val="Arial"/>
        <family val="2"/>
      </rPr>
      <t>61</t>
    </r>
  </si>
  <si>
    <r>
      <t xml:space="preserve">           der ausgewechelten Spielerin eintragen, z.B. </t>
    </r>
    <r>
      <rPr>
        <b/>
        <sz val="12"/>
        <rFont val="Arial"/>
        <family val="2"/>
      </rPr>
      <t>4</t>
    </r>
  </si>
  <si>
    <r>
      <t>6.  Die Datei nach Eingabe aller relevanten Daten mit "</t>
    </r>
    <r>
      <rPr>
        <b/>
        <sz val="12"/>
        <rFont val="Arial"/>
        <family val="2"/>
      </rPr>
      <t>Speichern unter</t>
    </r>
    <r>
      <rPr>
        <sz val="12"/>
        <rFont val="Arial"/>
        <family val="2"/>
      </rPr>
      <t>" speichern,</t>
    </r>
  </si>
  <si>
    <t>KSK Flotte Neun Peine</t>
  </si>
  <si>
    <t>Kegelbahn TSV Glinde v. 1930</t>
  </si>
  <si>
    <t>Kegelsporthalle am Lenther Steig</t>
  </si>
  <si>
    <t>RTSV Kegelsporthalle</t>
  </si>
  <si>
    <t>Spandauer SV</t>
  </si>
  <si>
    <t>Kegelsportanlage im Bremer SC</t>
  </si>
  <si>
    <t>LTS Bremerhaven</t>
  </si>
  <si>
    <t>Kegelzentrum Bürgerhaus Lehe Bremerhaven</t>
  </si>
  <si>
    <t>SG Greifswald / Wolgast</t>
  </si>
  <si>
    <t>Kegelbahn des Neubrandenburger Kegelverein</t>
  </si>
  <si>
    <t>"Der Kuhstall auf Dahses Hof" Karstädt</t>
  </si>
  <si>
    <t>Stendaler KC</t>
  </si>
  <si>
    <t>Sporthalle Haferbreiter Weg Stendal</t>
  </si>
  <si>
    <t>Hertha BSC</t>
  </si>
  <si>
    <t>SG Sportkegler Kiel I</t>
  </si>
  <si>
    <t>SpG Prignitz</t>
  </si>
  <si>
    <t>Team 08-19 Hamburg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</si>
</sst>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 mmmm\ yyyy;@"/>
    <numFmt numFmtId="165" formatCode="@&quot;. Wurf&quot;"/>
    <numFmt numFmtId="166" formatCode="&quot; &quot;@"/>
    <numFmt numFmtId="167" formatCode="&quot;für Nr. &quot;@"/>
  </numFmts>
  <fonts count="28" x14ac:knownFonts="1">
    <font>
      <sz val="10"/>
      <name val="Arial"/>
      <family val="2"/>
    </font>
    <font>
      <b/>
      <u/>
      <sz val="14"/>
      <name val="Arial"/>
      <family val="2"/>
    </font>
    <font>
      <b/>
      <sz val="10"/>
      <name val="Arial"/>
      <family val="2"/>
    </font>
    <font>
      <sz val="9"/>
      <name val="Arial"/>
      <family val="2"/>
    </font>
    <font>
      <sz val="12"/>
      <name val="Arial"/>
      <family val="2"/>
    </font>
    <font>
      <u/>
      <sz val="10"/>
      <name val="Arial"/>
      <family val="2"/>
    </font>
    <font>
      <sz val="11"/>
      <name val="Arial"/>
      <family val="2"/>
    </font>
    <font>
      <b/>
      <sz val="8"/>
      <name val="Arial"/>
      <family val="2"/>
    </font>
    <font>
      <sz val="8"/>
      <name val="Arial"/>
      <family val="2"/>
    </font>
    <font>
      <sz val="8"/>
      <color indexed="10"/>
      <name val="Arial"/>
      <family val="2"/>
    </font>
    <font>
      <b/>
      <sz val="14"/>
      <name val="Arial"/>
      <family val="2"/>
    </font>
    <font>
      <b/>
      <u/>
      <sz val="12"/>
      <color indexed="18"/>
      <name val="Arial"/>
      <family val="2"/>
    </font>
    <font>
      <sz val="16"/>
      <name val="Arial"/>
      <family val="2"/>
    </font>
    <font>
      <b/>
      <sz val="12"/>
      <name val="Arial"/>
      <family val="2"/>
    </font>
    <font>
      <b/>
      <sz val="8"/>
      <name val="Arial Narrow"/>
      <family val="2"/>
    </font>
    <font>
      <b/>
      <sz val="9"/>
      <name val="Arial"/>
      <family val="2"/>
    </font>
    <font>
      <sz val="13"/>
      <name val="Arial"/>
      <family val="2"/>
    </font>
    <font>
      <b/>
      <sz val="16"/>
      <name val="Arial"/>
      <family val="2"/>
    </font>
    <font>
      <sz val="7"/>
      <name val="Arial"/>
      <family val="2"/>
    </font>
    <font>
      <sz val="7.5"/>
      <name val="Arial"/>
      <family val="2"/>
    </font>
    <font>
      <sz val="10"/>
      <name val="Arial"/>
      <family val="2"/>
    </font>
    <font>
      <b/>
      <sz val="11"/>
      <name val="Arial"/>
      <family val="2"/>
    </font>
    <font>
      <i/>
      <sz val="10"/>
      <name val="Arial"/>
      <family val="2"/>
    </font>
    <font>
      <b/>
      <sz val="17"/>
      <name val="Arial"/>
      <family val="2"/>
    </font>
    <font>
      <sz val="8.5"/>
      <name val="Arial"/>
      <family val="2"/>
    </font>
    <font>
      <sz val="10"/>
      <color theme="0"/>
      <name val="Arial"/>
      <family val="2"/>
    </font>
    <font>
      <b/>
      <sz val="11"/>
      <color rgb="FF000080"/>
      <name val="Arial"/>
      <family val="2"/>
    </font>
    <font>
      <sz val="8"/>
      <color rgb="FFFF0000"/>
      <name val="Arial"/>
      <family val="2"/>
    </font>
  </fonts>
  <fills count="5">
    <fill>
      <patternFill patternType="none"/>
    </fill>
    <fill>
      <patternFill patternType="gray125"/>
    </fill>
    <fill>
      <patternFill patternType="solid">
        <fgColor indexed="43"/>
        <bgColor indexed="26"/>
      </patternFill>
    </fill>
    <fill>
      <patternFill patternType="solid">
        <fgColor rgb="FFC0C0C0"/>
        <bgColor indexed="31"/>
      </patternFill>
    </fill>
    <fill>
      <patternFill patternType="solid">
        <fgColor rgb="FFC0C0C0"/>
        <bgColor indexed="64"/>
      </patternFill>
    </fill>
  </fills>
  <borders count="15">
    <border>
      <left/>
      <right/>
      <top/>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0" fillId="0" borderId="0"/>
    <xf numFmtId="0" fontId="20" fillId="0" borderId="0"/>
  </cellStyleXfs>
  <cellXfs count="186">
    <xf numFmtId="0" fontId="0" fillId="0" borderId="0" xfId="0"/>
    <xf numFmtId="0" fontId="20" fillId="0" borderId="0" xfId="1" applyAlignment="1">
      <alignment horizontal="center"/>
    </xf>
    <xf numFmtId="0" fontId="20" fillId="0" borderId="0" xfId="1"/>
    <xf numFmtId="0" fontId="2" fillId="0" borderId="0" xfId="1" applyFont="1"/>
    <xf numFmtId="0" fontId="1" fillId="0" borderId="0" xfId="1" applyFont="1"/>
    <xf numFmtId="0" fontId="0" fillId="0" borderId="0" xfId="1" applyFont="1"/>
    <xf numFmtId="0" fontId="3" fillId="0" borderId="0" xfId="1" applyFont="1"/>
    <xf numFmtId="0" fontId="20" fillId="0" borderId="0" xfId="1" applyAlignment="1">
      <alignment horizontal="right"/>
    </xf>
    <xf numFmtId="0" fontId="20" fillId="2" borderId="0" xfId="1" applyFill="1"/>
    <xf numFmtId="0" fontId="4" fillId="0" borderId="0" xfId="1" applyFont="1" applyAlignment="1">
      <alignment horizontal="right"/>
    </xf>
    <xf numFmtId="0" fontId="20" fillId="0" borderId="0" xfId="2"/>
    <xf numFmtId="0" fontId="4" fillId="0" borderId="0" xfId="2" applyFont="1"/>
    <xf numFmtId="0" fontId="19" fillId="0" borderId="0" xfId="2" applyFont="1" applyAlignment="1">
      <alignment horizontal="left" vertical="top" wrapText="1"/>
    </xf>
    <xf numFmtId="0" fontId="0" fillId="0" borderId="0" xfId="1" applyFont="1" applyAlignment="1">
      <alignment horizontal="center"/>
    </xf>
    <xf numFmtId="0" fontId="20" fillId="3" borderId="0" xfId="2" applyFill="1"/>
    <xf numFmtId="0" fontId="20" fillId="4" borderId="0" xfId="2" applyFill="1"/>
    <xf numFmtId="0" fontId="4" fillId="3" borderId="0" xfId="2" applyFont="1" applyFill="1"/>
    <xf numFmtId="0" fontId="4" fillId="4" borderId="0" xfId="2" applyFont="1" applyFill="1"/>
    <xf numFmtId="49" fontId="20" fillId="3" borderId="0" xfId="2" applyNumberFormat="1" applyFill="1" applyAlignment="1">
      <alignment horizontal="left"/>
    </xf>
    <xf numFmtId="0" fontId="20" fillId="3" borderId="0" xfId="2" applyFill="1" applyAlignment="1">
      <alignment horizontal="left"/>
    </xf>
    <xf numFmtId="49" fontId="20" fillId="3" borderId="0" xfId="2" applyNumberFormat="1" applyFill="1"/>
    <xf numFmtId="0" fontId="23" fillId="0" borderId="11" xfId="2" applyFont="1" applyBorder="1" applyAlignment="1">
      <alignment vertical="center"/>
    </xf>
    <xf numFmtId="0" fontId="23" fillId="0" borderId="12" xfId="2" applyFont="1" applyBorder="1" applyAlignment="1">
      <alignment vertical="center"/>
    </xf>
    <xf numFmtId="0" fontId="23" fillId="0" borderId="5" xfId="2" applyFont="1" applyBorder="1" applyAlignment="1">
      <alignment vertical="center"/>
    </xf>
    <xf numFmtId="0" fontId="23" fillId="0" borderId="6" xfId="2" applyFont="1" applyBorder="1" applyAlignment="1">
      <alignment vertical="center"/>
    </xf>
    <xf numFmtId="0" fontId="10" fillId="0" borderId="0" xfId="2" applyFont="1"/>
    <xf numFmtId="0" fontId="21" fillId="0" borderId="0" xfId="2" applyFont="1" applyAlignment="1">
      <alignment vertical="center"/>
    </xf>
    <xf numFmtId="0" fontId="21" fillId="0" borderId="0" xfId="2" applyFont="1"/>
    <xf numFmtId="0" fontId="21" fillId="0" borderId="14" xfId="2" applyFont="1" applyBorder="1" applyAlignment="1">
      <alignment horizontal="center" vertical="center"/>
    </xf>
    <xf numFmtId="0" fontId="0" fillId="0" borderId="0" xfId="2" applyFont="1" applyAlignment="1">
      <alignment horizontal="left" indent="1"/>
    </xf>
    <xf numFmtId="0" fontId="13" fillId="0" borderId="0" xfId="2" applyFont="1" applyAlignment="1">
      <alignment vertical="center"/>
    </xf>
    <xf numFmtId="164" fontId="21" fillId="0" borderId="0" xfId="2" applyNumberFormat="1" applyFont="1" applyAlignment="1">
      <alignment horizontal="left" vertical="center" indent="1"/>
    </xf>
    <xf numFmtId="0" fontId="10" fillId="0" borderId="0" xfId="2" applyFont="1" applyAlignment="1">
      <alignment vertical="center"/>
    </xf>
    <xf numFmtId="0" fontId="7" fillId="0" borderId="0" xfId="2" applyFont="1" applyAlignment="1">
      <alignment vertical="center" wrapText="1"/>
    </xf>
    <xf numFmtId="0" fontId="20" fillId="0" borderId="0" xfId="2" applyAlignment="1">
      <alignment vertical="center"/>
    </xf>
    <xf numFmtId="0" fontId="17" fillId="0" borderId="8" xfId="2" applyFont="1" applyBorder="1" applyAlignment="1">
      <alignment horizontal="center" vertical="center"/>
    </xf>
    <xf numFmtId="0" fontId="15" fillId="0" borderId="10" xfId="2" applyFont="1" applyBorder="1"/>
    <xf numFmtId="0" fontId="15" fillId="0" borderId="11" xfId="2" applyFont="1" applyBorder="1"/>
    <xf numFmtId="0" fontId="20" fillId="0" borderId="11" xfId="2" applyBorder="1"/>
    <xf numFmtId="0" fontId="20" fillId="0" borderId="12" xfId="2" applyBorder="1"/>
    <xf numFmtId="0" fontId="15" fillId="0" borderId="4" xfId="0" applyFont="1" applyBorder="1" applyAlignment="1">
      <alignment horizontal="left" vertical="top"/>
    </xf>
    <xf numFmtId="0" fontId="15" fillId="0" borderId="5" xfId="0" applyFont="1" applyBorder="1" applyAlignment="1">
      <alignment horizontal="left" vertical="top"/>
    </xf>
    <xf numFmtId="0" fontId="20" fillId="0" borderId="5" xfId="2" applyBorder="1"/>
    <xf numFmtId="0" fontId="21" fillId="0" borderId="14" xfId="2" applyFont="1" applyBorder="1" applyAlignment="1" applyProtection="1">
      <alignment horizontal="center" vertical="center"/>
      <protection locked="0"/>
    </xf>
    <xf numFmtId="0" fontId="2" fillId="0" borderId="0" xfId="2" applyFont="1"/>
    <xf numFmtId="0" fontId="3" fillId="0" borderId="0" xfId="2" applyFont="1"/>
    <xf numFmtId="0" fontId="0" fillId="0" borderId="0" xfId="2" applyFont="1"/>
    <xf numFmtId="0" fontId="3" fillId="0" borderId="0" xfId="2" applyFont="1" applyAlignment="1">
      <alignment vertical="center"/>
    </xf>
    <xf numFmtId="0" fontId="0" fillId="0" borderId="0" xfId="2" applyFont="1" applyAlignment="1">
      <alignment vertical="center"/>
    </xf>
    <xf numFmtId="0" fontId="3" fillId="0" borderId="0" xfId="2" applyFont="1" applyAlignment="1">
      <alignment horizontal="right" vertical="center" indent="1"/>
    </xf>
    <xf numFmtId="0" fontId="3" fillId="0" borderId="0" xfId="2" applyFont="1" applyAlignment="1">
      <alignment vertical="top" wrapText="1"/>
    </xf>
    <xf numFmtId="0" fontId="3" fillId="0" borderId="0" xfId="2" applyFont="1" applyAlignment="1">
      <alignment vertical="top"/>
    </xf>
    <xf numFmtId="0" fontId="18" fillId="0" borderId="0" xfId="2" applyFont="1"/>
    <xf numFmtId="0" fontId="2" fillId="0" borderId="0" xfId="2" applyFont="1" applyAlignment="1">
      <alignment vertical="center"/>
    </xf>
    <xf numFmtId="0" fontId="24" fillId="0" borderId="0" xfId="0" applyFont="1" applyAlignment="1">
      <alignment vertical="top"/>
    </xf>
    <xf numFmtId="0" fontId="24" fillId="0" borderId="0" xfId="0" applyFont="1" applyAlignment="1">
      <alignment vertical="top" wrapText="1"/>
    </xf>
    <xf numFmtId="0" fontId="12" fillId="0" borderId="0" xfId="2" applyFont="1" applyAlignment="1">
      <alignment horizontal="center"/>
    </xf>
    <xf numFmtId="0" fontId="14" fillId="0" borderId="0" xfId="2" applyFont="1" applyAlignment="1">
      <alignment horizontal="center" wrapText="1"/>
    </xf>
    <xf numFmtId="0" fontId="16" fillId="0" borderId="0" xfId="2" applyFont="1"/>
    <xf numFmtId="0" fontId="13" fillId="0" borderId="0" xfId="2" applyFont="1" applyAlignment="1">
      <alignment horizontal="center"/>
    </xf>
    <xf numFmtId="0" fontId="19" fillId="0" borderId="0" xfId="2" applyFont="1" applyAlignment="1">
      <alignment vertical="top" wrapText="1"/>
    </xf>
    <xf numFmtId="0" fontId="20" fillId="3" borderId="0" xfId="1" applyFill="1"/>
    <xf numFmtId="0" fontId="20" fillId="4" borderId="0" xfId="1" applyFill="1"/>
    <xf numFmtId="0" fontId="2" fillId="3" borderId="0" xfId="1" applyFont="1" applyFill="1" applyAlignment="1">
      <alignment horizontal="center"/>
    </xf>
    <xf numFmtId="0" fontId="5" fillId="3" borderId="0" xfId="1" applyFont="1" applyFill="1"/>
    <xf numFmtId="0" fontId="2" fillId="4" borderId="0" xfId="1" applyFont="1" applyFill="1" applyAlignment="1">
      <alignment horizontal="center"/>
    </xf>
    <xf numFmtId="0" fontId="0" fillId="3" borderId="0" xfId="1" applyFont="1" applyFill="1"/>
    <xf numFmtId="0" fontId="8" fillId="3" borderId="0" xfId="1" applyFont="1" applyFill="1"/>
    <xf numFmtId="0" fontId="1" fillId="0" borderId="0" xfId="1" applyFont="1" applyAlignment="1">
      <alignment horizontal="center"/>
    </xf>
    <xf numFmtId="0" fontId="3" fillId="0" borderId="0" xfId="1" applyFont="1" applyAlignment="1">
      <alignment horizontal="center"/>
    </xf>
    <xf numFmtId="14" fontId="3" fillId="0" borderId="0" xfId="1" applyNumberFormat="1" applyFont="1" applyAlignment="1">
      <alignment horizontal="center"/>
    </xf>
    <xf numFmtId="0" fontId="15" fillId="0" borderId="0" xfId="1" applyFont="1"/>
    <xf numFmtId="0" fontId="15" fillId="0" borderId="0" xfId="1" applyFont="1" applyAlignment="1">
      <alignment horizontal="center"/>
    </xf>
    <xf numFmtId="0" fontId="4" fillId="0" borderId="0" xfId="1" applyFont="1" applyAlignment="1">
      <alignment horizontal="center"/>
    </xf>
    <xf numFmtId="0" fontId="4" fillId="0" borderId="0" xfId="1" applyFont="1"/>
    <xf numFmtId="0" fontId="8" fillId="3" borderId="0" xfId="1" applyFont="1" applyFill="1" applyAlignment="1">
      <alignment horizontal="center"/>
    </xf>
    <xf numFmtId="0" fontId="8" fillId="3" borderId="14" xfId="1" applyFont="1" applyFill="1" applyBorder="1" applyAlignment="1">
      <alignment horizontal="center"/>
    </xf>
    <xf numFmtId="0" fontId="8" fillId="3" borderId="14" xfId="1" applyFont="1" applyFill="1" applyBorder="1"/>
    <xf numFmtId="0" fontId="27" fillId="3" borderId="0" xfId="1" applyFont="1" applyFill="1"/>
    <xf numFmtId="0" fontId="6" fillId="3" borderId="0" xfId="2" applyFont="1" applyFill="1" applyAlignment="1">
      <alignment horizontal="center" vertical="center"/>
    </xf>
    <xf numFmtId="0" fontId="8" fillId="3" borderId="0" xfId="2" applyFont="1" applyFill="1" applyAlignment="1">
      <alignment horizontal="center" vertical="center"/>
    </xf>
    <xf numFmtId="0" fontId="3" fillId="3" borderId="0" xfId="2" applyFont="1" applyFill="1" applyAlignment="1">
      <alignment horizontal="center" vertical="center"/>
    </xf>
    <xf numFmtId="0" fontId="9" fillId="3" borderId="0" xfId="2" applyFont="1" applyFill="1" applyAlignment="1">
      <alignment horizontal="center"/>
    </xf>
    <xf numFmtId="0" fontId="8" fillId="4" borderId="0" xfId="1" applyFont="1" applyFill="1" applyAlignment="1">
      <alignment horizontal="center"/>
    </xf>
    <xf numFmtId="0" fontId="8" fillId="3" borderId="0" xfId="2" applyFont="1" applyFill="1" applyAlignment="1">
      <alignment horizontal="center"/>
    </xf>
    <xf numFmtId="0" fontId="8" fillId="3" borderId="1" xfId="2" applyFont="1" applyFill="1" applyBorder="1" applyAlignment="1">
      <alignment horizontal="center"/>
    </xf>
    <xf numFmtId="0" fontId="8" fillId="4" borderId="5" xfId="1" applyFont="1" applyFill="1" applyBorder="1" applyAlignment="1">
      <alignment horizontal="center"/>
    </xf>
    <xf numFmtId="0" fontId="15" fillId="3" borderId="0" xfId="1" applyFont="1" applyFill="1" applyAlignment="1">
      <alignment horizontal="center"/>
    </xf>
    <xf numFmtId="0" fontId="1" fillId="2" borderId="11" xfId="1" applyFont="1" applyFill="1" applyBorder="1"/>
    <xf numFmtId="0" fontId="20" fillId="2" borderId="11" xfId="1" applyFill="1" applyBorder="1"/>
    <xf numFmtId="0" fontId="20" fillId="2" borderId="12" xfId="1" applyFill="1" applyBorder="1"/>
    <xf numFmtId="0" fontId="20" fillId="2" borderId="2" xfId="1" applyFill="1" applyBorder="1"/>
    <xf numFmtId="0" fontId="20" fillId="2" borderId="3" xfId="1" applyFill="1" applyBorder="1"/>
    <xf numFmtId="0" fontId="4" fillId="2" borderId="2" xfId="1" applyFont="1" applyFill="1" applyBorder="1"/>
    <xf numFmtId="0" fontId="4" fillId="2" borderId="2" xfId="1" applyFont="1" applyFill="1" applyBorder="1" applyAlignment="1">
      <alignment vertical="top"/>
    </xf>
    <xf numFmtId="0" fontId="4" fillId="2" borderId="4" xfId="1" applyFont="1" applyFill="1" applyBorder="1" applyAlignment="1">
      <alignment vertical="top"/>
    </xf>
    <xf numFmtId="0" fontId="20" fillId="2" borderId="5" xfId="1" applyFill="1" applyBorder="1"/>
    <xf numFmtId="0" fontId="20" fillId="2" borderId="6" xfId="1" applyFill="1" applyBorder="1"/>
    <xf numFmtId="0" fontId="4" fillId="2" borderId="2" xfId="1" applyFont="1" applyFill="1" applyBorder="1" applyAlignment="1">
      <alignment horizontal="left" indent="2"/>
    </xf>
    <xf numFmtId="0" fontId="1" fillId="2" borderId="10" xfId="1" applyFont="1" applyFill="1" applyBorder="1" applyAlignment="1">
      <alignment horizontal="left" indent="2"/>
    </xf>
    <xf numFmtId="166" fontId="8" fillId="0" borderId="4" xfId="2" applyNumberFormat="1" applyFont="1" applyBorder="1" applyAlignment="1">
      <alignment vertical="center" shrinkToFit="1"/>
    </xf>
    <xf numFmtId="166" fontId="8" fillId="0" borderId="5" xfId="2" applyNumberFormat="1" applyFont="1" applyBorder="1" applyAlignment="1">
      <alignment vertical="center" shrinkToFit="1"/>
    </xf>
    <xf numFmtId="166" fontId="8" fillId="0" borderId="6" xfId="2" applyNumberFormat="1" applyFont="1" applyBorder="1" applyAlignment="1">
      <alignment vertical="center" shrinkToFit="1"/>
    </xf>
    <xf numFmtId="0" fontId="26" fillId="0" borderId="7" xfId="2" applyFont="1" applyBorder="1" applyAlignment="1">
      <alignment horizontal="center" vertical="center"/>
    </xf>
    <xf numFmtId="0" fontId="26" fillId="0" borderId="8" xfId="2" applyFont="1" applyBorder="1" applyAlignment="1">
      <alignment horizontal="center" vertical="center"/>
    </xf>
    <xf numFmtId="0" fontId="26" fillId="0" borderId="9" xfId="2" applyFont="1" applyBorder="1" applyAlignment="1">
      <alignment horizontal="center" vertical="center"/>
    </xf>
    <xf numFmtId="0" fontId="20" fillId="0" borderId="13" xfId="2" applyBorder="1" applyAlignment="1">
      <alignment horizontal="center" vertical="center"/>
    </xf>
    <xf numFmtId="166" fontId="0" fillId="0" borderId="7" xfId="2" applyNumberFormat="1" applyFont="1" applyBorder="1" applyAlignment="1" applyProtection="1">
      <alignment vertical="center" shrinkToFit="1"/>
      <protection locked="0"/>
    </xf>
    <xf numFmtId="166" fontId="20" fillId="0" borderId="8" xfId="2" applyNumberFormat="1" applyBorder="1" applyAlignment="1" applyProtection="1">
      <alignment vertical="center" shrinkToFit="1"/>
      <protection locked="0"/>
    </xf>
    <xf numFmtId="0" fontId="20" fillId="0" borderId="10" xfId="2" applyBorder="1" applyAlignment="1">
      <alignment horizontal="center" vertical="center"/>
    </xf>
    <xf numFmtId="0" fontId="20" fillId="0" borderId="11" xfId="2" applyBorder="1" applyAlignment="1">
      <alignment horizontal="center" vertical="center"/>
    </xf>
    <xf numFmtId="0" fontId="20" fillId="0" borderId="12" xfId="2" applyBorder="1" applyAlignment="1">
      <alignment horizontal="center" vertical="center"/>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166" fontId="20" fillId="0" borderId="9" xfId="2" applyNumberFormat="1" applyBorder="1" applyAlignment="1" applyProtection="1">
      <alignment vertical="center" shrinkToFit="1"/>
      <protection locked="0"/>
    </xf>
    <xf numFmtId="0" fontId="20" fillId="0" borderId="14" xfId="2" applyBorder="1" applyAlignment="1">
      <alignment horizontal="center" vertical="center"/>
    </xf>
    <xf numFmtId="167" fontId="3" fillId="0" borderId="4" xfId="2" applyNumberFormat="1" applyFont="1" applyBorder="1" applyAlignment="1" applyProtection="1">
      <alignment horizontal="center" vertical="center"/>
      <protection locked="0"/>
    </xf>
    <xf numFmtId="167" fontId="3" fillId="0" borderId="5" xfId="2" applyNumberFormat="1" applyFont="1" applyBorder="1" applyAlignment="1" applyProtection="1">
      <alignment horizontal="center" vertical="center"/>
      <protection locked="0"/>
    </xf>
    <xf numFmtId="167" fontId="3" fillId="0" borderId="6" xfId="2" applyNumberFormat="1" applyFont="1" applyBorder="1" applyAlignment="1" applyProtection="1">
      <alignment horizontal="center" vertical="center"/>
      <protection locked="0"/>
    </xf>
    <xf numFmtId="0" fontId="20" fillId="0" borderId="2" xfId="2" applyBorder="1" applyProtection="1">
      <protection locked="0"/>
    </xf>
    <xf numFmtId="0" fontId="20" fillId="0" borderId="0" xfId="2" applyProtection="1">
      <protection locked="0"/>
    </xf>
    <xf numFmtId="0" fontId="20" fillId="0" borderId="3" xfId="2" applyBorder="1" applyProtection="1">
      <protection locked="0"/>
    </xf>
    <xf numFmtId="0" fontId="20" fillId="0" borderId="4" xfId="2" applyBorder="1" applyProtection="1">
      <protection locked="0"/>
    </xf>
    <xf numFmtId="0" fontId="20" fillId="0" borderId="5" xfId="2" applyBorder="1" applyProtection="1">
      <protection locked="0"/>
    </xf>
    <xf numFmtId="0" fontId="20" fillId="0" borderId="6" xfId="2" applyBorder="1" applyProtection="1">
      <protection locked="0"/>
    </xf>
    <xf numFmtId="49" fontId="21" fillId="0" borderId="7" xfId="2" applyNumberFormat="1" applyFont="1" applyBorder="1" applyAlignment="1" applyProtection="1">
      <alignment horizontal="center" vertical="center"/>
      <protection locked="0"/>
    </xf>
    <xf numFmtId="49" fontId="21" fillId="0" borderId="8" xfId="2" applyNumberFormat="1" applyFont="1" applyBorder="1" applyAlignment="1" applyProtection="1">
      <alignment horizontal="center" vertical="center"/>
      <protection locked="0"/>
    </xf>
    <xf numFmtId="49" fontId="21" fillId="0" borderId="9" xfId="2" applyNumberFormat="1" applyFont="1" applyBorder="1" applyAlignment="1" applyProtection="1">
      <alignment horizontal="center" vertical="center"/>
      <protection locked="0"/>
    </xf>
    <xf numFmtId="0" fontId="3" fillId="0" borderId="2" xfId="2" applyFont="1" applyBorder="1" applyProtection="1">
      <protection locked="0"/>
    </xf>
    <xf numFmtId="0" fontId="3" fillId="0" borderId="0" xfId="2" applyFont="1" applyProtection="1">
      <protection locked="0"/>
    </xf>
    <xf numFmtId="0" fontId="3" fillId="0" borderId="3" xfId="2" applyFont="1" applyBorder="1" applyProtection="1">
      <protection locked="0"/>
    </xf>
    <xf numFmtId="0" fontId="0" fillId="0" borderId="10" xfId="2" applyFont="1" applyBorder="1" applyProtection="1">
      <protection locked="0"/>
    </xf>
    <xf numFmtId="0" fontId="0" fillId="0" borderId="11" xfId="2" applyFont="1" applyBorder="1" applyProtection="1">
      <protection locked="0"/>
    </xf>
    <xf numFmtId="0" fontId="0" fillId="0" borderId="12" xfId="2" applyFont="1" applyBorder="1" applyProtection="1">
      <protection locked="0"/>
    </xf>
    <xf numFmtId="0" fontId="6" fillId="0" borderId="11" xfId="2" applyFont="1" applyBorder="1" applyAlignment="1">
      <alignment horizontal="center" vertical="center"/>
    </xf>
    <xf numFmtId="0" fontId="6" fillId="0" borderId="0" xfId="2" applyFont="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12" xfId="2" applyFont="1" applyBorder="1" applyAlignment="1">
      <alignment horizontal="center" vertical="center"/>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0" fillId="0" borderId="7" xfId="2" applyFont="1" applyBorder="1" applyAlignment="1">
      <alignment horizontal="right" vertical="center"/>
    </xf>
    <xf numFmtId="0" fontId="10" fillId="0" borderId="8" xfId="2" applyFont="1" applyBorder="1" applyAlignment="1">
      <alignment horizontal="righ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165" fontId="3" fillId="0" borderId="2" xfId="2" applyNumberFormat="1" applyFont="1" applyBorder="1" applyAlignment="1" applyProtection="1">
      <alignment horizontal="center" vertical="center"/>
      <protection locked="0"/>
    </xf>
    <xf numFmtId="165" fontId="3" fillId="0" borderId="0" xfId="2" applyNumberFormat="1" applyFont="1" applyAlignment="1" applyProtection="1">
      <alignment horizontal="center" vertical="center"/>
      <protection locked="0"/>
    </xf>
    <xf numFmtId="165" fontId="3" fillId="0" borderId="3" xfId="2" applyNumberFormat="1" applyFont="1" applyBorder="1" applyAlignment="1" applyProtection="1">
      <alignment horizontal="center" vertical="center"/>
      <protection locked="0"/>
    </xf>
    <xf numFmtId="0" fontId="25" fillId="0" borderId="11" xfId="2" applyFont="1" applyBorder="1" applyAlignment="1">
      <alignment horizontal="center" vertical="center"/>
    </xf>
    <xf numFmtId="0" fontId="25" fillId="0" borderId="8" xfId="2" applyFont="1" applyBorder="1" applyAlignment="1">
      <alignment horizontal="center" vertical="center"/>
    </xf>
    <xf numFmtId="166" fontId="0" fillId="0" borderId="8" xfId="2" applyNumberFormat="1" applyFont="1" applyBorder="1" applyAlignment="1" applyProtection="1">
      <alignment vertical="center" shrinkToFit="1"/>
      <protection locked="0"/>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23" fillId="0" borderId="10" xfId="2" applyFont="1" applyBorder="1" applyAlignment="1">
      <alignment horizontal="center" vertical="center"/>
    </xf>
    <xf numFmtId="0" fontId="23" fillId="0" borderId="11" xfId="2" applyFont="1" applyBorder="1" applyAlignment="1">
      <alignment horizontal="center" vertical="center"/>
    </xf>
    <xf numFmtId="0" fontId="22" fillId="0" borderId="4" xfId="2" applyFont="1" applyBorder="1" applyAlignment="1">
      <alignment horizontal="center" vertical="center"/>
    </xf>
    <xf numFmtId="0" fontId="22" fillId="0" borderId="5" xfId="2" applyFont="1" applyBorder="1" applyAlignment="1">
      <alignment horizontal="center" vertical="center"/>
    </xf>
    <xf numFmtId="0" fontId="2" fillId="0" borderId="0" xfId="2" applyFont="1" applyAlignment="1">
      <alignment horizontal="center" vertical="center"/>
    </xf>
    <xf numFmtId="0" fontId="21" fillId="0" borderId="7" xfId="2" applyFont="1" applyBorder="1" applyAlignment="1">
      <alignment horizontal="center" vertical="center"/>
    </xf>
    <xf numFmtId="0" fontId="21" fillId="0" borderId="8" xfId="2" applyFont="1" applyBorder="1" applyAlignment="1">
      <alignment horizontal="center" vertical="center"/>
    </xf>
    <xf numFmtId="0" fontId="21" fillId="0" borderId="9" xfId="2" applyFont="1" applyBorder="1" applyAlignment="1">
      <alignment horizontal="center" vertical="center"/>
    </xf>
    <xf numFmtId="0" fontId="21" fillId="0" borderId="7" xfId="2" applyFont="1" applyBorder="1" applyAlignment="1" applyProtection="1">
      <alignment horizontal="left" vertical="center" indent="1"/>
      <protection locked="0"/>
    </xf>
    <xf numFmtId="0" fontId="21" fillId="0" borderId="8" xfId="2" applyFont="1" applyBorder="1" applyAlignment="1" applyProtection="1">
      <alignment horizontal="left" vertical="center" indent="1"/>
      <protection locked="0"/>
    </xf>
    <xf numFmtId="0" fontId="21" fillId="0" borderId="9" xfId="2" applyFont="1" applyBorder="1" applyAlignment="1" applyProtection="1">
      <alignment horizontal="left" vertical="center" indent="1"/>
      <protection locked="0"/>
    </xf>
    <xf numFmtId="164" fontId="21" fillId="0" borderId="7" xfId="2" applyNumberFormat="1" applyFont="1" applyBorder="1" applyAlignment="1">
      <alignment horizontal="left" vertical="center" indent="1"/>
    </xf>
    <xf numFmtId="164" fontId="21" fillId="0" borderId="8" xfId="2" applyNumberFormat="1" applyFont="1" applyBorder="1" applyAlignment="1">
      <alignment horizontal="left" vertical="center" indent="1"/>
    </xf>
    <xf numFmtId="164" fontId="21" fillId="0" borderId="9" xfId="2" applyNumberFormat="1" applyFont="1" applyBorder="1" applyAlignment="1">
      <alignment horizontal="left" vertical="center" indent="1"/>
    </xf>
    <xf numFmtId="0" fontId="21" fillId="0" borderId="7" xfId="2" applyFont="1" applyBorder="1" applyAlignment="1">
      <alignment horizontal="left" vertical="center" indent="1"/>
    </xf>
    <xf numFmtId="0" fontId="21" fillId="0" borderId="8" xfId="2" applyFont="1" applyBorder="1" applyAlignment="1">
      <alignment horizontal="left" vertical="center" indent="1"/>
    </xf>
    <xf numFmtId="0" fontId="21" fillId="0" borderId="9" xfId="2" applyFont="1" applyBorder="1" applyAlignment="1">
      <alignment horizontal="left" vertical="center" indent="1"/>
    </xf>
    <xf numFmtId="0" fontId="24" fillId="0" borderId="0" xfId="0" applyFont="1" applyAlignment="1">
      <alignment vertical="top" wrapText="1"/>
    </xf>
    <xf numFmtId="0" fontId="0" fillId="0" borderId="7" xfId="2" applyFont="1" applyBorder="1" applyAlignment="1">
      <alignment horizontal="center"/>
    </xf>
    <xf numFmtId="0" fontId="0" fillId="0" borderId="8" xfId="2" applyFont="1" applyBorder="1" applyAlignment="1">
      <alignment horizontal="center"/>
    </xf>
    <xf numFmtId="0" fontId="0" fillId="0" borderId="9" xfId="2" applyFont="1" applyBorder="1" applyAlignment="1">
      <alignment horizontal="center"/>
    </xf>
    <xf numFmtId="0" fontId="0" fillId="0" borderId="7" xfId="2" applyFont="1" applyBorder="1" applyAlignment="1" applyProtection="1">
      <alignment horizontal="center" vertical="center"/>
      <protection locked="0"/>
    </xf>
    <xf numFmtId="0" fontId="0" fillId="0" borderId="8" xfId="2" applyFont="1" applyBorder="1" applyAlignment="1" applyProtection="1">
      <alignment horizontal="center" vertical="center"/>
      <protection locked="0"/>
    </xf>
    <xf numFmtId="0" fontId="0" fillId="0" borderId="9" xfId="2" applyFont="1" applyBorder="1" applyAlignment="1" applyProtection="1">
      <alignment horizontal="center" vertical="center"/>
      <protection locked="0"/>
    </xf>
    <xf numFmtId="0" fontId="20" fillId="0" borderId="7" xfId="2" applyBorder="1" applyAlignment="1" applyProtection="1">
      <alignment horizontal="center" vertical="center"/>
      <protection locked="0"/>
    </xf>
    <xf numFmtId="0" fontId="20" fillId="0" borderId="8" xfId="2" applyBorder="1" applyAlignment="1" applyProtection="1">
      <alignment horizontal="center" vertical="center"/>
      <protection locked="0"/>
    </xf>
    <xf numFmtId="0" fontId="20" fillId="0" borderId="9" xfId="2" applyBorder="1" applyAlignment="1" applyProtection="1">
      <alignment horizontal="center" vertical="center"/>
      <protection locked="0"/>
    </xf>
  </cellXfs>
  <cellStyles count="3">
    <cellStyle name="Standard" xfId="0" builtinId="0"/>
    <cellStyle name="Standard 2" xfId="1"/>
    <cellStyle name="Standard 2 2" xfId="2"/>
  </cellStyles>
  <dxfs count="4">
    <dxf>
      <font>
        <b/>
        <i/>
        <color rgb="FF4472C4"/>
      </font>
    </dxf>
    <dxf>
      <font>
        <color theme="0"/>
      </font>
    </dxf>
    <dxf>
      <font>
        <color theme="0"/>
      </font>
    </dxf>
    <dxf>
      <font>
        <b/>
        <i/>
        <color rgb="FF4472C4"/>
      </font>
    </dxf>
  </dxfs>
  <tableStyles count="0" defaultTableStyle="TableStyleMedium2" defaultPivotStyle="PivotStyleLight16"/>
  <colors>
    <mruColors>
      <color rgb="FF4472C4"/>
      <color rgb="FFC0C0C0"/>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14654</xdr:colOff>
      <xdr:row>5</xdr:row>
      <xdr:rowOff>71072</xdr:rowOff>
    </xdr:from>
    <xdr:to>
      <xdr:col>37</xdr:col>
      <xdr:colOff>0</xdr:colOff>
      <xdr:row>11</xdr:row>
      <xdr:rowOff>73270</xdr:rowOff>
    </xdr:to>
    <xdr:sp macro="" textlink="">
      <xdr:nvSpPr>
        <xdr:cNvPr id="2" name="Rectangle 26">
          <a:extLst>
            <a:ext uri="{FF2B5EF4-FFF2-40B4-BE49-F238E27FC236}">
              <a16:creationId xmlns:a16="http://schemas.microsoft.com/office/drawing/2014/main" id="{B5DE44BF-B470-43FC-90C9-6F2A70D47487}"/>
            </a:ext>
          </a:extLst>
        </xdr:cNvPr>
        <xdr:cNvSpPr>
          <a:spLocks noChangeArrowheads="1"/>
        </xdr:cNvSpPr>
      </xdr:nvSpPr>
      <xdr:spPr bwMode="auto">
        <a:xfrm>
          <a:off x="6286500" y="1016245"/>
          <a:ext cx="1817077" cy="1035294"/>
        </a:xfrm>
        <a:prstGeom prst="rect">
          <a:avLst/>
        </a:prstGeom>
        <a:noFill/>
        <a:ln w="952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65943</xdr:colOff>
      <xdr:row>1</xdr:row>
      <xdr:rowOff>29308</xdr:rowOff>
    </xdr:from>
    <xdr:to>
      <xdr:col>36</xdr:col>
      <xdr:colOff>169235</xdr:colOff>
      <xdr:row>2</xdr:row>
      <xdr:rowOff>145041</xdr:rowOff>
    </xdr:to>
    <xdr:pic>
      <xdr:nvPicPr>
        <xdr:cNvPr id="4" name="Grafik 3">
          <a:extLst>
            <a:ext uri="{FF2B5EF4-FFF2-40B4-BE49-F238E27FC236}">
              <a16:creationId xmlns:a16="http://schemas.microsoft.com/office/drawing/2014/main" id="{C45E1D7B-74DE-4A07-9C2D-29A563114B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4135" y="190500"/>
          <a:ext cx="1385504" cy="364849"/>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H462"/>
  <sheetViews>
    <sheetView showGridLines="0" showRowColHeaders="0" workbookViewId="0">
      <pane ySplit="14" topLeftCell="A15" activePane="bottomLeft" state="frozen"/>
      <selection pane="bottomLeft"/>
    </sheetView>
  </sheetViews>
  <sheetFormatPr baseColWidth="10" defaultColWidth="11.42578125" defaultRowHeight="12.75" x14ac:dyDescent="0.2"/>
  <cols>
    <col min="1" max="1" width="11.42578125" style="1"/>
    <col min="2" max="2" width="15.7109375" style="1" customWidth="1"/>
    <col min="3" max="3" width="30.7109375" style="2" customWidth="1"/>
    <col min="4" max="4" width="4.7109375" style="2" customWidth="1"/>
    <col min="5" max="8" width="30.7109375" style="2" customWidth="1"/>
    <col min="9" max="16384" width="11.42578125" style="2"/>
  </cols>
  <sheetData>
    <row r="1" spans="1:8" ht="24.95" customHeight="1" x14ac:dyDescent="0.2">
      <c r="C1" s="13" t="s">
        <v>126</v>
      </c>
      <c r="E1" s="13" t="s">
        <v>127</v>
      </c>
      <c r="F1" s="13" t="s">
        <v>79</v>
      </c>
      <c r="G1" s="13" t="s">
        <v>80</v>
      </c>
      <c r="H1" s="13" t="s">
        <v>81</v>
      </c>
    </row>
    <row r="2" spans="1:8" ht="15" customHeight="1" x14ac:dyDescent="0.25">
      <c r="A2" s="68"/>
      <c r="B2" s="68"/>
      <c r="C2" s="3" t="s">
        <v>66</v>
      </c>
      <c r="D2" s="4"/>
      <c r="E2" s="3" t="s">
        <v>66</v>
      </c>
      <c r="F2" s="3" t="s">
        <v>130</v>
      </c>
      <c r="G2" s="3" t="s">
        <v>8</v>
      </c>
      <c r="H2" s="3" t="s">
        <v>14</v>
      </c>
    </row>
    <row r="3" spans="1:8" ht="15" customHeight="1" x14ac:dyDescent="0.25">
      <c r="A3" s="68"/>
      <c r="B3" s="68"/>
      <c r="C3" s="3" t="s">
        <v>63</v>
      </c>
      <c r="D3" s="4"/>
      <c r="E3" s="3" t="s">
        <v>170</v>
      </c>
      <c r="F3" s="3" t="s">
        <v>163</v>
      </c>
      <c r="G3" s="3" t="s">
        <v>82</v>
      </c>
      <c r="H3" s="3" t="s">
        <v>67</v>
      </c>
    </row>
    <row r="4" spans="1:8" ht="15" customHeight="1" x14ac:dyDescent="0.25">
      <c r="A4" s="68"/>
      <c r="B4" s="68"/>
      <c r="C4" s="3" t="s">
        <v>75</v>
      </c>
      <c r="D4" s="4"/>
      <c r="E4" s="3" t="s">
        <v>84</v>
      </c>
      <c r="F4" s="3" t="s">
        <v>86</v>
      </c>
      <c r="G4" s="3" t="s">
        <v>131</v>
      </c>
      <c r="H4" s="3" t="s">
        <v>88</v>
      </c>
    </row>
    <row r="5" spans="1:8" ht="15" customHeight="1" x14ac:dyDescent="0.25">
      <c r="A5" s="68"/>
      <c r="B5" s="68"/>
      <c r="C5" s="3" t="s">
        <v>173</v>
      </c>
      <c r="D5" s="4"/>
      <c r="E5" s="3" t="s">
        <v>16</v>
      </c>
      <c r="F5" s="3" t="s">
        <v>13</v>
      </c>
      <c r="G5" s="3" t="s">
        <v>112</v>
      </c>
      <c r="H5" s="3" t="s">
        <v>168</v>
      </c>
    </row>
    <row r="6" spans="1:8" ht="15" customHeight="1" x14ac:dyDescent="0.25">
      <c r="A6" s="68"/>
      <c r="B6" s="68"/>
      <c r="C6" s="3" t="s">
        <v>1</v>
      </c>
      <c r="D6" s="4"/>
      <c r="E6" s="3" t="s">
        <v>2</v>
      </c>
      <c r="F6" s="3" t="s">
        <v>7</v>
      </c>
      <c r="G6" s="3" t="s">
        <v>132</v>
      </c>
      <c r="H6" s="3" t="s">
        <v>68</v>
      </c>
    </row>
    <row r="7" spans="1:8" ht="15" customHeight="1" x14ac:dyDescent="0.25">
      <c r="A7" s="68"/>
      <c r="B7" s="68"/>
      <c r="C7" s="3" t="s">
        <v>118</v>
      </c>
      <c r="D7" s="4"/>
      <c r="E7" s="3" t="s">
        <v>5</v>
      </c>
      <c r="F7" s="3" t="s">
        <v>6</v>
      </c>
      <c r="G7" s="3" t="s">
        <v>113</v>
      </c>
      <c r="H7" s="3" t="s">
        <v>89</v>
      </c>
    </row>
    <row r="8" spans="1:8" ht="15" customHeight="1" x14ac:dyDescent="0.25">
      <c r="A8" s="68"/>
      <c r="B8" s="68"/>
      <c r="C8" s="3" t="s">
        <v>157</v>
      </c>
      <c r="D8" s="4"/>
      <c r="E8" s="3" t="s">
        <v>11</v>
      </c>
      <c r="F8" s="3" t="s">
        <v>85</v>
      </c>
      <c r="G8" s="3" t="s">
        <v>3</v>
      </c>
      <c r="H8" s="3" t="s">
        <v>172</v>
      </c>
    </row>
    <row r="9" spans="1:8" ht="15" customHeight="1" x14ac:dyDescent="0.25">
      <c r="A9" s="68"/>
      <c r="B9" s="68"/>
      <c r="C9" s="3" t="s">
        <v>12</v>
      </c>
      <c r="D9" s="4"/>
      <c r="E9" s="3" t="s">
        <v>9</v>
      </c>
      <c r="F9" s="3" t="s">
        <v>10</v>
      </c>
      <c r="G9" s="3" t="s">
        <v>165</v>
      </c>
      <c r="H9" s="3" t="s">
        <v>4</v>
      </c>
    </row>
    <row r="10" spans="1:8" ht="15" customHeight="1" x14ac:dyDescent="0.25">
      <c r="A10" s="68"/>
      <c r="B10" s="68"/>
      <c r="C10" s="3" t="s">
        <v>117</v>
      </c>
      <c r="D10" s="4"/>
      <c r="E10" s="3" t="s">
        <v>128</v>
      </c>
      <c r="F10" s="3"/>
      <c r="G10" s="5"/>
      <c r="H10" s="3"/>
    </row>
    <row r="11" spans="1:8" ht="15" customHeight="1" x14ac:dyDescent="0.25">
      <c r="A11" s="68"/>
      <c r="B11" s="68"/>
      <c r="C11" s="3" t="s">
        <v>11</v>
      </c>
      <c r="D11" s="4"/>
      <c r="E11" s="3" t="s">
        <v>161</v>
      </c>
      <c r="F11" s="3"/>
      <c r="G11" s="5"/>
      <c r="H11" s="3"/>
    </row>
    <row r="12" spans="1:8" ht="15" customHeight="1" x14ac:dyDescent="0.25">
      <c r="A12" s="68"/>
      <c r="B12" s="68"/>
      <c r="C12" s="3" t="s">
        <v>114</v>
      </c>
      <c r="D12" s="4"/>
      <c r="E12" s="3" t="s">
        <v>171</v>
      </c>
      <c r="F12" s="3"/>
      <c r="G12" s="5"/>
      <c r="H12" s="3"/>
    </row>
    <row r="13" spans="1:8" ht="15" customHeight="1" x14ac:dyDescent="0.25">
      <c r="A13" s="68"/>
      <c r="B13" s="68"/>
      <c r="C13" s="3" t="s">
        <v>15</v>
      </c>
      <c r="D13" s="4"/>
      <c r="E13" s="3" t="s">
        <v>129</v>
      </c>
      <c r="F13" s="3"/>
      <c r="G13" s="5"/>
      <c r="H13" s="3"/>
    </row>
    <row r="14" spans="1:8" ht="12.75" customHeight="1" x14ac:dyDescent="0.25">
      <c r="A14" s="68"/>
      <c r="B14" s="68"/>
      <c r="C14" s="3"/>
      <c r="D14" s="4"/>
      <c r="E14" s="4"/>
      <c r="F14" s="4"/>
    </row>
    <row r="15" spans="1:8" ht="12.75" customHeight="1" x14ac:dyDescent="0.25">
      <c r="A15" s="68"/>
      <c r="B15" s="68"/>
      <c r="C15" s="3"/>
      <c r="D15" s="4"/>
      <c r="E15" s="4"/>
      <c r="F15" s="4"/>
    </row>
    <row r="16" spans="1:8" ht="12.75" customHeight="1" x14ac:dyDescent="0.25">
      <c r="A16" s="68"/>
      <c r="B16" s="68"/>
      <c r="C16" s="3"/>
      <c r="D16" s="4"/>
      <c r="E16" s="4"/>
      <c r="F16" s="4"/>
    </row>
    <row r="17" spans="1:6" ht="12.75" customHeight="1" x14ac:dyDescent="0.25">
      <c r="A17" s="68"/>
      <c r="B17" s="68"/>
      <c r="C17" s="3"/>
      <c r="D17" s="4"/>
      <c r="E17" s="4"/>
      <c r="F17" s="4"/>
    </row>
    <row r="18" spans="1:6" ht="12.75" customHeight="1" x14ac:dyDescent="0.2">
      <c r="A18" s="69">
        <v>1</v>
      </c>
      <c r="B18" s="70">
        <v>45179</v>
      </c>
      <c r="C18" s="6" t="str">
        <f>$C$2</f>
        <v>SG Union Oberschöneweide</v>
      </c>
      <c r="D18" s="69" t="s">
        <v>17</v>
      </c>
      <c r="E18" s="6" t="str">
        <f>$C$3</f>
        <v>KSC Schwarz-Weiss Berlin</v>
      </c>
      <c r="F18" s="6" t="s">
        <v>159</v>
      </c>
    </row>
    <row r="19" spans="1:6" ht="12.75" customHeight="1" x14ac:dyDescent="0.2">
      <c r="A19" s="69">
        <f>A18+1</f>
        <v>2</v>
      </c>
      <c r="B19" s="70">
        <f>B$18</f>
        <v>45179</v>
      </c>
      <c r="C19" s="6" t="str">
        <f>$C$4</f>
        <v>MSC Waren</v>
      </c>
      <c r="D19" s="69" t="s">
        <v>17</v>
      </c>
      <c r="E19" s="6" t="str">
        <f>$C$5</f>
        <v>Team 08-19 Hamburg</v>
      </c>
      <c r="F19" s="6" t="str">
        <f>F$18</f>
        <v>Kegelsporthalle am Lenther Steig</v>
      </c>
    </row>
    <row r="20" spans="1:6" ht="12.75" customHeight="1" x14ac:dyDescent="0.2">
      <c r="A20" s="69">
        <f>A19+1</f>
        <v>3</v>
      </c>
      <c r="B20" s="70">
        <f>B$18</f>
        <v>45179</v>
      </c>
      <c r="C20" s="6" t="str">
        <f>$C$3</f>
        <v>KSC Schwarz-Weiss Berlin</v>
      </c>
      <c r="D20" s="69" t="s">
        <v>17</v>
      </c>
      <c r="E20" s="6" t="str">
        <f>$C$4</f>
        <v>MSC Waren</v>
      </c>
      <c r="F20" s="6" t="str">
        <f>F$18</f>
        <v>Kegelsporthalle am Lenther Steig</v>
      </c>
    </row>
    <row r="21" spans="1:6" ht="12.75" customHeight="1" x14ac:dyDescent="0.2">
      <c r="A21" s="69">
        <f>A20+1</f>
        <v>4</v>
      </c>
      <c r="B21" s="70">
        <f>B$18</f>
        <v>45179</v>
      </c>
      <c r="C21" s="6" t="str">
        <f>$C$5</f>
        <v>Team 08-19 Hamburg</v>
      </c>
      <c r="D21" s="69" t="s">
        <v>17</v>
      </c>
      <c r="E21" s="6" t="str">
        <f>$C$2</f>
        <v>SG Union Oberschöneweide</v>
      </c>
      <c r="F21" s="6" t="str">
        <f>F$18</f>
        <v>Kegelsporthalle am Lenther Steig</v>
      </c>
    </row>
    <row r="22" spans="1:6" ht="12.75" customHeight="1" x14ac:dyDescent="0.2">
      <c r="A22" s="69"/>
      <c r="B22" s="70"/>
      <c r="C22" s="6"/>
      <c r="D22" s="69"/>
      <c r="E22" s="6"/>
      <c r="F22" s="6"/>
    </row>
    <row r="23" spans="1:6" ht="12.75" customHeight="1" x14ac:dyDescent="0.2">
      <c r="A23" s="69">
        <f>A21+1</f>
        <v>5</v>
      </c>
      <c r="B23" s="70">
        <f t="shared" ref="B23:B31" si="0">B$18</f>
        <v>45179</v>
      </c>
      <c r="C23" s="6" t="str">
        <f>$C$6</f>
        <v>SpG FE 27 / Hansa Berlin</v>
      </c>
      <c r="D23" s="69" t="s">
        <v>17</v>
      </c>
      <c r="E23" s="6" t="str">
        <f>$C$7</f>
        <v>SpG Eberswalde</v>
      </c>
      <c r="F23" s="6" t="s">
        <v>119</v>
      </c>
    </row>
    <row r="24" spans="1:6" ht="12.75" customHeight="1" x14ac:dyDescent="0.2">
      <c r="A24" s="69">
        <f>A23+1</f>
        <v>6</v>
      </c>
      <c r="B24" s="70">
        <f t="shared" si="0"/>
        <v>45179</v>
      </c>
      <c r="C24" s="6" t="str">
        <f>$C$8</f>
        <v>KSK Flotte Neun Peine</v>
      </c>
      <c r="D24" s="69" t="s">
        <v>17</v>
      </c>
      <c r="E24" s="6" t="str">
        <f>$C$9</f>
        <v>KSC Carat Bremen</v>
      </c>
      <c r="F24" s="6" t="str">
        <f>F$23</f>
        <v>Kegelsporthalle des Vereins Segeberger Kegler</v>
      </c>
    </row>
    <row r="25" spans="1:6" ht="12.75" customHeight="1" x14ac:dyDescent="0.2">
      <c r="A25" s="69">
        <f>A24+1</f>
        <v>7</v>
      </c>
      <c r="B25" s="70">
        <f t="shared" si="0"/>
        <v>45179</v>
      </c>
      <c r="C25" s="6" t="str">
        <f>$C$7</f>
        <v>SpG Eberswalde</v>
      </c>
      <c r="D25" s="69" t="s">
        <v>17</v>
      </c>
      <c r="E25" s="6" t="str">
        <f>$C$8</f>
        <v>KSK Flotte Neun Peine</v>
      </c>
      <c r="F25" s="6" t="str">
        <f>F$23</f>
        <v>Kegelsporthalle des Vereins Segeberger Kegler</v>
      </c>
    </row>
    <row r="26" spans="1:6" ht="12.75" customHeight="1" x14ac:dyDescent="0.2">
      <c r="A26" s="69">
        <f>A25+1</f>
        <v>8</v>
      </c>
      <c r="B26" s="70">
        <f t="shared" si="0"/>
        <v>45179</v>
      </c>
      <c r="C26" s="6" t="str">
        <f>$C$9</f>
        <v>KSC Carat Bremen</v>
      </c>
      <c r="D26" s="69" t="s">
        <v>17</v>
      </c>
      <c r="E26" s="6" t="str">
        <f>$C$6</f>
        <v>SpG FE 27 / Hansa Berlin</v>
      </c>
      <c r="F26" s="6" t="str">
        <f>F$23</f>
        <v>Kegelsporthalle des Vereins Segeberger Kegler</v>
      </c>
    </row>
    <row r="27" spans="1:6" ht="12.75" customHeight="1" x14ac:dyDescent="0.2">
      <c r="A27" s="69"/>
      <c r="B27" s="70"/>
      <c r="C27" s="6"/>
      <c r="D27" s="69"/>
      <c r="E27" s="6"/>
      <c r="F27" s="6"/>
    </row>
    <row r="28" spans="1:6" ht="12.75" customHeight="1" x14ac:dyDescent="0.2">
      <c r="A28" s="69">
        <f>A26+1</f>
        <v>9</v>
      </c>
      <c r="B28" s="70">
        <f t="shared" si="0"/>
        <v>45179</v>
      </c>
      <c r="C28" s="6" t="str">
        <f>$C$10</f>
        <v>SG Sportkegler Kiel</v>
      </c>
      <c r="D28" s="69" t="s">
        <v>17</v>
      </c>
      <c r="E28" s="6" t="str">
        <f>$C$11</f>
        <v>KSK Oldenburg / Holstein</v>
      </c>
      <c r="F28" s="6" t="s">
        <v>160</v>
      </c>
    </row>
    <row r="29" spans="1:6" ht="12.75" customHeight="1" x14ac:dyDescent="0.2">
      <c r="A29" s="69">
        <f>A28+1</f>
        <v>10</v>
      </c>
      <c r="B29" s="70">
        <f t="shared" si="0"/>
        <v>45179</v>
      </c>
      <c r="C29" s="6" t="str">
        <f>$C$12</f>
        <v>SG LTS / KCN Bremerhaven</v>
      </c>
      <c r="D29" s="69" t="s">
        <v>17</v>
      </c>
      <c r="E29" s="6" t="str">
        <f>$C$13</f>
        <v>Grün-Weiß Cuxhaven</v>
      </c>
      <c r="F29" s="6" t="str">
        <f>F$28</f>
        <v>RTSV Kegelsporthalle</v>
      </c>
    </row>
    <row r="30" spans="1:6" ht="12.75" customHeight="1" x14ac:dyDescent="0.2">
      <c r="A30" s="69">
        <f>A29+1</f>
        <v>11</v>
      </c>
      <c r="B30" s="70">
        <f t="shared" si="0"/>
        <v>45179</v>
      </c>
      <c r="C30" s="6" t="str">
        <f>$C$11</f>
        <v>KSK Oldenburg / Holstein</v>
      </c>
      <c r="D30" s="69" t="s">
        <v>17</v>
      </c>
      <c r="E30" s="6" t="str">
        <f>$C$12</f>
        <v>SG LTS / KCN Bremerhaven</v>
      </c>
      <c r="F30" s="6" t="str">
        <f>F$28</f>
        <v>RTSV Kegelsporthalle</v>
      </c>
    </row>
    <row r="31" spans="1:6" ht="12.75" customHeight="1" x14ac:dyDescent="0.2">
      <c r="A31" s="69">
        <f>A30+1</f>
        <v>12</v>
      </c>
      <c r="B31" s="70">
        <f t="shared" si="0"/>
        <v>45179</v>
      </c>
      <c r="C31" s="6" t="str">
        <f>$C$13</f>
        <v>Grün-Weiß Cuxhaven</v>
      </c>
      <c r="D31" s="69" t="s">
        <v>17</v>
      </c>
      <c r="E31" s="6" t="str">
        <f>$C$10</f>
        <v>SG Sportkegler Kiel</v>
      </c>
      <c r="F31" s="6" t="str">
        <f>F$28</f>
        <v>RTSV Kegelsporthalle</v>
      </c>
    </row>
    <row r="32" spans="1:6" ht="12.75" customHeight="1" x14ac:dyDescent="0.2">
      <c r="A32" s="69"/>
      <c r="B32" s="70"/>
      <c r="C32" s="6"/>
      <c r="D32" s="69"/>
      <c r="E32" s="6"/>
      <c r="F32" s="6"/>
    </row>
    <row r="33" spans="1:6" ht="12.75" customHeight="1" x14ac:dyDescent="0.2">
      <c r="A33" s="69">
        <f>A31+1</f>
        <v>13</v>
      </c>
      <c r="B33" s="70">
        <v>45221</v>
      </c>
      <c r="C33" s="6" t="str">
        <f>$C$4</f>
        <v>MSC Waren</v>
      </c>
      <c r="D33" s="69" t="s">
        <v>17</v>
      </c>
      <c r="E33" s="6" t="str">
        <f>$C$6</f>
        <v>SpG FE 27 / Hansa Berlin</v>
      </c>
      <c r="F33" s="6" t="s">
        <v>27</v>
      </c>
    </row>
    <row r="34" spans="1:6" ht="12.75" customHeight="1" x14ac:dyDescent="0.2">
      <c r="A34" s="69">
        <f>A33+1</f>
        <v>14</v>
      </c>
      <c r="B34" s="70">
        <f>B$33</f>
        <v>45221</v>
      </c>
      <c r="C34" s="6" t="str">
        <f>$C$5</f>
        <v>Team 08-19 Hamburg</v>
      </c>
      <c r="D34" s="69" t="s">
        <v>17</v>
      </c>
      <c r="E34" s="6" t="str">
        <f>$C$7</f>
        <v>SpG Eberswalde</v>
      </c>
      <c r="F34" s="6" t="str">
        <f>F$33</f>
        <v>Bundeskegelbahn Stralsund</v>
      </c>
    </row>
    <row r="35" spans="1:6" ht="12.75" customHeight="1" x14ac:dyDescent="0.2">
      <c r="A35" s="69">
        <f>A34+1</f>
        <v>15</v>
      </c>
      <c r="B35" s="70">
        <f t="shared" ref="B35:B36" si="1">B$33</f>
        <v>45221</v>
      </c>
      <c r="C35" s="6" t="str">
        <f>$C$6</f>
        <v>SpG FE 27 / Hansa Berlin</v>
      </c>
      <c r="D35" s="69" t="s">
        <v>17</v>
      </c>
      <c r="E35" s="6" t="str">
        <f>$C$5</f>
        <v>Team 08-19 Hamburg</v>
      </c>
      <c r="F35" s="6" t="str">
        <f>F$33</f>
        <v>Bundeskegelbahn Stralsund</v>
      </c>
    </row>
    <row r="36" spans="1:6" ht="12.75" customHeight="1" x14ac:dyDescent="0.2">
      <c r="A36" s="69">
        <f>A35+1</f>
        <v>16</v>
      </c>
      <c r="B36" s="70">
        <f t="shared" si="1"/>
        <v>45221</v>
      </c>
      <c r="C36" s="6" t="str">
        <f>$C$7</f>
        <v>SpG Eberswalde</v>
      </c>
      <c r="D36" s="69" t="s">
        <v>17</v>
      </c>
      <c r="E36" s="6" t="str">
        <f>$C$4</f>
        <v>MSC Waren</v>
      </c>
      <c r="F36" s="6" t="str">
        <f>F$33</f>
        <v>Bundeskegelbahn Stralsund</v>
      </c>
    </row>
    <row r="37" spans="1:6" ht="12.75" customHeight="1" x14ac:dyDescent="0.2">
      <c r="A37" s="69"/>
      <c r="B37" s="69"/>
      <c r="C37" s="6"/>
      <c r="D37" s="6"/>
      <c r="E37" s="6"/>
      <c r="F37" s="6"/>
    </row>
    <row r="38" spans="1:6" ht="12.75" customHeight="1" x14ac:dyDescent="0.2">
      <c r="A38" s="69">
        <f>A36+1</f>
        <v>17</v>
      </c>
      <c r="B38" s="70">
        <f t="shared" ref="B38:B46" si="2">B$33</f>
        <v>45221</v>
      </c>
      <c r="C38" s="6" t="str">
        <f>$C$8</f>
        <v>KSK Flotte Neun Peine</v>
      </c>
      <c r="D38" s="69" t="s">
        <v>17</v>
      </c>
      <c r="E38" s="6" t="str">
        <f>$C$10</f>
        <v>SG Sportkegler Kiel</v>
      </c>
      <c r="F38" s="6" t="s">
        <v>19</v>
      </c>
    </row>
    <row r="39" spans="1:6" ht="12.75" customHeight="1" x14ac:dyDescent="0.2">
      <c r="A39" s="69">
        <f>A38+1</f>
        <v>18</v>
      </c>
      <c r="B39" s="70">
        <f t="shared" si="2"/>
        <v>45221</v>
      </c>
      <c r="C39" s="6" t="str">
        <f>$C$9</f>
        <v>KSC Carat Bremen</v>
      </c>
      <c r="D39" s="69" t="s">
        <v>17</v>
      </c>
      <c r="E39" s="6" t="str">
        <f>$C$11</f>
        <v>KSK Oldenburg / Holstein</v>
      </c>
      <c r="F39" s="6" t="str">
        <f>F$38</f>
        <v>Kegelsporthalle Pinneberg</v>
      </c>
    </row>
    <row r="40" spans="1:6" ht="12.75" customHeight="1" x14ac:dyDescent="0.2">
      <c r="A40" s="69">
        <f>A39+1</f>
        <v>19</v>
      </c>
      <c r="B40" s="70">
        <f t="shared" si="2"/>
        <v>45221</v>
      </c>
      <c r="C40" s="6" t="str">
        <f>$C$10</f>
        <v>SG Sportkegler Kiel</v>
      </c>
      <c r="D40" s="69" t="s">
        <v>17</v>
      </c>
      <c r="E40" s="6" t="str">
        <f>$C$9</f>
        <v>KSC Carat Bremen</v>
      </c>
      <c r="F40" s="6" t="str">
        <f>F$38</f>
        <v>Kegelsporthalle Pinneberg</v>
      </c>
    </row>
    <row r="41" spans="1:6" ht="12.75" customHeight="1" x14ac:dyDescent="0.2">
      <c r="A41" s="69">
        <f>A40+1</f>
        <v>20</v>
      </c>
      <c r="B41" s="70">
        <f t="shared" si="2"/>
        <v>45221</v>
      </c>
      <c r="C41" s="6" t="str">
        <f>$C$11</f>
        <v>KSK Oldenburg / Holstein</v>
      </c>
      <c r="D41" s="69" t="s">
        <v>17</v>
      </c>
      <c r="E41" s="6" t="str">
        <f>$C$8</f>
        <v>KSK Flotte Neun Peine</v>
      </c>
      <c r="F41" s="6" t="str">
        <f>F$38</f>
        <v>Kegelsporthalle Pinneberg</v>
      </c>
    </row>
    <row r="42" spans="1:6" ht="12.75" customHeight="1" x14ac:dyDescent="0.2">
      <c r="A42" s="69"/>
      <c r="B42" s="70"/>
      <c r="C42" s="6"/>
      <c r="D42" s="69"/>
      <c r="E42" s="6"/>
      <c r="F42" s="6"/>
    </row>
    <row r="43" spans="1:6" ht="12.75" customHeight="1" x14ac:dyDescent="0.2">
      <c r="A43" s="69">
        <f>A41+1</f>
        <v>21</v>
      </c>
      <c r="B43" s="70">
        <f t="shared" si="2"/>
        <v>45221</v>
      </c>
      <c r="C43" s="6" t="str">
        <f>$C$12</f>
        <v>SG LTS / KCN Bremerhaven</v>
      </c>
      <c r="D43" s="69" t="s">
        <v>17</v>
      </c>
      <c r="E43" s="6" t="str">
        <f>$C$2</f>
        <v>SG Union Oberschöneweide</v>
      </c>
      <c r="F43" s="6" t="s">
        <v>121</v>
      </c>
    </row>
    <row r="44" spans="1:6" ht="12.75" customHeight="1" x14ac:dyDescent="0.2">
      <c r="A44" s="69">
        <f>A43+1</f>
        <v>22</v>
      </c>
      <c r="B44" s="70">
        <f t="shared" si="2"/>
        <v>45221</v>
      </c>
      <c r="C44" s="6" t="str">
        <f>$C$13</f>
        <v>Grün-Weiß Cuxhaven</v>
      </c>
      <c r="D44" s="69" t="s">
        <v>17</v>
      </c>
      <c r="E44" s="6" t="str">
        <f>$C$3</f>
        <v>KSC Schwarz-Weiss Berlin</v>
      </c>
      <c r="F44" s="6" t="str">
        <f>F$43</f>
        <v>Kegelsporthalle "Holstenhof"</v>
      </c>
    </row>
    <row r="45" spans="1:6" ht="12.75" customHeight="1" x14ac:dyDescent="0.2">
      <c r="A45" s="69">
        <f>A44+1</f>
        <v>23</v>
      </c>
      <c r="B45" s="70">
        <f t="shared" si="2"/>
        <v>45221</v>
      </c>
      <c r="C45" s="6" t="str">
        <f>$C$2</f>
        <v>SG Union Oberschöneweide</v>
      </c>
      <c r="D45" s="69" t="s">
        <v>17</v>
      </c>
      <c r="E45" s="6" t="str">
        <f>$C$13</f>
        <v>Grün-Weiß Cuxhaven</v>
      </c>
      <c r="F45" s="6" t="str">
        <f>F$43</f>
        <v>Kegelsporthalle "Holstenhof"</v>
      </c>
    </row>
    <row r="46" spans="1:6" ht="12.75" customHeight="1" x14ac:dyDescent="0.2">
      <c r="A46" s="69">
        <f>A45+1</f>
        <v>24</v>
      </c>
      <c r="B46" s="70">
        <f t="shared" si="2"/>
        <v>45221</v>
      </c>
      <c r="C46" s="6" t="str">
        <f>$C$3</f>
        <v>KSC Schwarz-Weiss Berlin</v>
      </c>
      <c r="D46" s="69" t="s">
        <v>17</v>
      </c>
      <c r="E46" s="6" t="str">
        <f>$C$12</f>
        <v>SG LTS / KCN Bremerhaven</v>
      </c>
      <c r="F46" s="6" t="str">
        <f>F$43</f>
        <v>Kegelsporthalle "Holstenhof"</v>
      </c>
    </row>
    <row r="47" spans="1:6" ht="12.75" customHeight="1" x14ac:dyDescent="0.2">
      <c r="A47" s="69"/>
      <c r="B47" s="70"/>
      <c r="C47" s="6"/>
      <c r="D47" s="69"/>
      <c r="E47" s="6"/>
      <c r="F47" s="6"/>
    </row>
    <row r="48" spans="1:6" ht="12.75" customHeight="1" x14ac:dyDescent="0.2">
      <c r="A48" s="69">
        <f>A46+1</f>
        <v>25</v>
      </c>
      <c r="B48" s="70">
        <v>45256</v>
      </c>
      <c r="C48" s="6" t="str">
        <f>$C$3</f>
        <v>KSC Schwarz-Weiss Berlin</v>
      </c>
      <c r="D48" s="69" t="s">
        <v>17</v>
      </c>
      <c r="E48" s="6" t="str">
        <f>$C$9</f>
        <v>KSC Carat Bremen</v>
      </c>
      <c r="F48" s="6" t="s">
        <v>158</v>
      </c>
    </row>
    <row r="49" spans="1:6" ht="12.75" customHeight="1" x14ac:dyDescent="0.2">
      <c r="A49" s="69">
        <f>A48+1</f>
        <v>26</v>
      </c>
      <c r="B49" s="70">
        <f>B$48</f>
        <v>45256</v>
      </c>
      <c r="C49" s="6" t="str">
        <f>$C$2</f>
        <v>SG Union Oberschöneweide</v>
      </c>
      <c r="D49" s="69" t="s">
        <v>17</v>
      </c>
      <c r="E49" s="6" t="str">
        <f>$C$8</f>
        <v>KSK Flotte Neun Peine</v>
      </c>
      <c r="F49" s="6" t="str">
        <f>F$48</f>
        <v>Kegelbahn TSV Glinde v. 1930</v>
      </c>
    </row>
    <row r="50" spans="1:6" ht="12.75" customHeight="1" x14ac:dyDescent="0.2">
      <c r="A50" s="69">
        <f t="shared" ref="A50:A51" si="3">A49+1</f>
        <v>27</v>
      </c>
      <c r="B50" s="70">
        <f t="shared" ref="B50:B61" si="4">B$48</f>
        <v>45256</v>
      </c>
      <c r="C50" s="6" t="str">
        <f>$C$9</f>
        <v>KSC Carat Bremen</v>
      </c>
      <c r="D50" s="69" t="s">
        <v>17</v>
      </c>
      <c r="E50" s="6" t="str">
        <f>$C$2</f>
        <v>SG Union Oberschöneweide</v>
      </c>
      <c r="F50" s="6" t="str">
        <f>F$48</f>
        <v>Kegelbahn TSV Glinde v. 1930</v>
      </c>
    </row>
    <row r="51" spans="1:6" ht="12.75" customHeight="1" x14ac:dyDescent="0.2">
      <c r="A51" s="69">
        <f t="shared" si="3"/>
        <v>28</v>
      </c>
      <c r="B51" s="70">
        <f t="shared" si="4"/>
        <v>45256</v>
      </c>
      <c r="C51" s="6" t="str">
        <f>$C$8</f>
        <v>KSK Flotte Neun Peine</v>
      </c>
      <c r="D51" s="69" t="s">
        <v>17</v>
      </c>
      <c r="E51" s="6" t="str">
        <f>$C$3</f>
        <v>KSC Schwarz-Weiss Berlin</v>
      </c>
      <c r="F51" s="6" t="str">
        <f>F$48</f>
        <v>Kegelbahn TSV Glinde v. 1930</v>
      </c>
    </row>
    <row r="52" spans="1:6" ht="12.75" customHeight="1" x14ac:dyDescent="0.2">
      <c r="A52" s="69"/>
      <c r="B52" s="70"/>
      <c r="C52" s="6"/>
      <c r="D52" s="69"/>
      <c r="E52" s="6"/>
      <c r="F52" s="6"/>
    </row>
    <row r="53" spans="1:6" ht="12.75" customHeight="1" x14ac:dyDescent="0.2">
      <c r="A53" s="69">
        <f>A51+1</f>
        <v>29</v>
      </c>
      <c r="B53" s="70">
        <f t="shared" si="4"/>
        <v>45256</v>
      </c>
      <c r="C53" s="6" t="str">
        <f>$C$13</f>
        <v>Grün-Weiß Cuxhaven</v>
      </c>
      <c r="D53" s="69" t="s">
        <v>17</v>
      </c>
      <c r="E53" s="6" t="str">
        <f>$C$5</f>
        <v>Team 08-19 Hamburg</v>
      </c>
      <c r="F53" s="6" t="s">
        <v>76</v>
      </c>
    </row>
    <row r="54" spans="1:6" ht="12.75" customHeight="1" x14ac:dyDescent="0.2">
      <c r="A54" s="69">
        <f>A53+1</f>
        <v>30</v>
      </c>
      <c r="B54" s="70">
        <f t="shared" si="4"/>
        <v>45256</v>
      </c>
      <c r="C54" s="6" t="str">
        <f>$C$12</f>
        <v>SG LTS / KCN Bremerhaven</v>
      </c>
      <c r="D54" s="69" t="s">
        <v>17</v>
      </c>
      <c r="E54" s="6" t="str">
        <f>$C$4</f>
        <v>MSC Waren</v>
      </c>
      <c r="F54" s="6" t="str">
        <f>F$53</f>
        <v>Kegelsporthalle 1. SC Norderstedt</v>
      </c>
    </row>
    <row r="55" spans="1:6" ht="12.75" customHeight="1" x14ac:dyDescent="0.2">
      <c r="A55" s="69">
        <f t="shared" ref="A55:A56" si="5">A54+1</f>
        <v>31</v>
      </c>
      <c r="B55" s="70">
        <f t="shared" si="4"/>
        <v>45256</v>
      </c>
      <c r="C55" s="6" t="str">
        <f>$C$5</f>
        <v>Team 08-19 Hamburg</v>
      </c>
      <c r="D55" s="69" t="s">
        <v>17</v>
      </c>
      <c r="E55" s="6" t="str">
        <f>$C$12</f>
        <v>SG LTS / KCN Bremerhaven</v>
      </c>
      <c r="F55" s="6" t="str">
        <f>F$53</f>
        <v>Kegelsporthalle 1. SC Norderstedt</v>
      </c>
    </row>
    <row r="56" spans="1:6" ht="12.75" customHeight="1" x14ac:dyDescent="0.2">
      <c r="A56" s="69">
        <f t="shared" si="5"/>
        <v>32</v>
      </c>
      <c r="B56" s="70">
        <f t="shared" si="4"/>
        <v>45256</v>
      </c>
      <c r="C56" s="6" t="str">
        <f>$C$4</f>
        <v>MSC Waren</v>
      </c>
      <c r="D56" s="69" t="s">
        <v>17</v>
      </c>
      <c r="E56" s="6" t="str">
        <f>$C$13</f>
        <v>Grün-Weiß Cuxhaven</v>
      </c>
      <c r="F56" s="6" t="str">
        <f>F$53</f>
        <v>Kegelsporthalle 1. SC Norderstedt</v>
      </c>
    </row>
    <row r="57" spans="1:6" ht="12.75" customHeight="1" x14ac:dyDescent="0.2">
      <c r="A57" s="69"/>
      <c r="B57" s="69"/>
      <c r="C57" s="6"/>
      <c r="D57" s="6"/>
      <c r="E57" s="6"/>
      <c r="F57" s="6"/>
    </row>
    <row r="58" spans="1:6" ht="12.75" customHeight="1" x14ac:dyDescent="0.2">
      <c r="A58" s="69">
        <f>A56+1</f>
        <v>33</v>
      </c>
      <c r="B58" s="70">
        <f t="shared" si="4"/>
        <v>45256</v>
      </c>
      <c r="C58" s="6" t="str">
        <f>$C$7</f>
        <v>SpG Eberswalde</v>
      </c>
      <c r="D58" s="69" t="s">
        <v>17</v>
      </c>
      <c r="E58" s="6" t="str">
        <f>$C$11</f>
        <v>KSK Oldenburg / Holstein</v>
      </c>
      <c r="F58" s="6" t="s">
        <v>122</v>
      </c>
    </row>
    <row r="59" spans="1:6" ht="12.75" customHeight="1" x14ac:dyDescent="0.2">
      <c r="A59" s="69">
        <f>A58+1</f>
        <v>34</v>
      </c>
      <c r="B59" s="70">
        <f t="shared" si="4"/>
        <v>45256</v>
      </c>
      <c r="C59" s="6" t="str">
        <f>$C$6</f>
        <v>SpG FE 27 / Hansa Berlin</v>
      </c>
      <c r="D59" s="69" t="s">
        <v>17</v>
      </c>
      <c r="E59" s="6" t="str">
        <f>$C$10</f>
        <v>SG Sportkegler Kiel</v>
      </c>
      <c r="F59" s="6" t="str">
        <f>F$58</f>
        <v>Sportzentrum Elmshorn</v>
      </c>
    </row>
    <row r="60" spans="1:6" ht="12.75" customHeight="1" x14ac:dyDescent="0.2">
      <c r="A60" s="69">
        <f>A59+1</f>
        <v>35</v>
      </c>
      <c r="B60" s="70">
        <f t="shared" si="4"/>
        <v>45256</v>
      </c>
      <c r="C60" s="6" t="str">
        <f>$C$11</f>
        <v>KSK Oldenburg / Holstein</v>
      </c>
      <c r="D60" s="69" t="s">
        <v>17</v>
      </c>
      <c r="E60" s="6" t="str">
        <f>$C$6</f>
        <v>SpG FE 27 / Hansa Berlin</v>
      </c>
      <c r="F60" s="6" t="str">
        <f>F$58</f>
        <v>Sportzentrum Elmshorn</v>
      </c>
    </row>
    <row r="61" spans="1:6" ht="12.75" customHeight="1" x14ac:dyDescent="0.2">
      <c r="A61" s="69">
        <f>A60+1</f>
        <v>36</v>
      </c>
      <c r="B61" s="70">
        <f t="shared" si="4"/>
        <v>45256</v>
      </c>
      <c r="C61" s="6" t="str">
        <f>$C$10</f>
        <v>SG Sportkegler Kiel</v>
      </c>
      <c r="D61" s="69" t="s">
        <v>17</v>
      </c>
      <c r="E61" s="6" t="str">
        <f>$C$7</f>
        <v>SpG Eberswalde</v>
      </c>
      <c r="F61" s="6" t="str">
        <f>F$58</f>
        <v>Sportzentrum Elmshorn</v>
      </c>
    </row>
    <row r="62" spans="1:6" ht="12.75" customHeight="1" x14ac:dyDescent="0.2">
      <c r="A62" s="69"/>
      <c r="B62" s="70"/>
      <c r="C62" s="6"/>
      <c r="D62" s="69"/>
      <c r="E62" s="6"/>
      <c r="F62" s="6"/>
    </row>
    <row r="63" spans="1:6" ht="12.75" customHeight="1" x14ac:dyDescent="0.2">
      <c r="A63" s="69">
        <f>A61+1</f>
        <v>37</v>
      </c>
      <c r="B63" s="70">
        <v>45312</v>
      </c>
      <c r="C63" s="6" t="str">
        <f>$C$5</f>
        <v>Team 08-19 Hamburg</v>
      </c>
      <c r="D63" s="69" t="s">
        <v>17</v>
      </c>
      <c r="E63" s="6" t="str">
        <f>$C$11</f>
        <v>KSK Oldenburg / Holstein</v>
      </c>
      <c r="F63" s="6" t="s">
        <v>120</v>
      </c>
    </row>
    <row r="64" spans="1:6" ht="12.75" customHeight="1" x14ac:dyDescent="0.2">
      <c r="A64" s="69">
        <f>A63+1</f>
        <v>38</v>
      </c>
      <c r="B64" s="70">
        <f>B$63</f>
        <v>45312</v>
      </c>
      <c r="C64" s="6" t="str">
        <f>$C$4</f>
        <v>MSC Waren</v>
      </c>
      <c r="D64" s="69" t="s">
        <v>17</v>
      </c>
      <c r="E64" s="6" t="str">
        <f>$C$10</f>
        <v>SG Sportkegler Kiel</v>
      </c>
      <c r="F64" s="6" t="str">
        <f>F$63</f>
        <v>Kegelhalle Verein Celler Kegler</v>
      </c>
    </row>
    <row r="65" spans="1:6" ht="12.75" customHeight="1" x14ac:dyDescent="0.2">
      <c r="A65" s="69">
        <f>A64+1</f>
        <v>39</v>
      </c>
      <c r="B65" s="70">
        <f t="shared" ref="B65:B76" si="6">B$63</f>
        <v>45312</v>
      </c>
      <c r="C65" s="6" t="str">
        <f>$C$11</f>
        <v>KSK Oldenburg / Holstein</v>
      </c>
      <c r="D65" s="69" t="s">
        <v>17</v>
      </c>
      <c r="E65" s="6" t="str">
        <f>$C$4</f>
        <v>MSC Waren</v>
      </c>
      <c r="F65" s="6" t="str">
        <f>F$63</f>
        <v>Kegelhalle Verein Celler Kegler</v>
      </c>
    </row>
    <row r="66" spans="1:6" ht="12.75" customHeight="1" x14ac:dyDescent="0.2">
      <c r="A66" s="69">
        <f>A65+1</f>
        <v>40</v>
      </c>
      <c r="B66" s="70">
        <f t="shared" si="6"/>
        <v>45312</v>
      </c>
      <c r="C66" s="6" t="str">
        <f>$C$10</f>
        <v>SG Sportkegler Kiel</v>
      </c>
      <c r="D66" s="69" t="s">
        <v>17</v>
      </c>
      <c r="E66" s="6" t="str">
        <f>$C$5</f>
        <v>Team 08-19 Hamburg</v>
      </c>
      <c r="F66" s="6" t="str">
        <f>F$63</f>
        <v>Kegelhalle Verein Celler Kegler</v>
      </c>
    </row>
    <row r="67" spans="1:6" ht="12.75" customHeight="1" x14ac:dyDescent="0.2">
      <c r="A67" s="69"/>
      <c r="B67" s="69"/>
      <c r="C67" s="6"/>
      <c r="D67" s="6"/>
      <c r="E67" s="6"/>
      <c r="F67" s="6"/>
    </row>
    <row r="68" spans="1:6" ht="12.75" customHeight="1" x14ac:dyDescent="0.2">
      <c r="A68" s="69">
        <f>A66+1</f>
        <v>41</v>
      </c>
      <c r="B68" s="70">
        <f t="shared" si="6"/>
        <v>45312</v>
      </c>
      <c r="C68" s="6" t="str">
        <f>$C$3</f>
        <v>KSC Schwarz-Weiss Berlin</v>
      </c>
      <c r="D68" s="69" t="s">
        <v>17</v>
      </c>
      <c r="E68" s="6" t="str">
        <f>$C$7</f>
        <v>SpG Eberswalde</v>
      </c>
      <c r="F68" s="6" t="s">
        <v>71</v>
      </c>
    </row>
    <row r="69" spans="1:6" ht="12.75" customHeight="1" x14ac:dyDescent="0.2">
      <c r="A69" s="69">
        <f>A68+1</f>
        <v>42</v>
      </c>
      <c r="B69" s="70">
        <f t="shared" si="6"/>
        <v>45312</v>
      </c>
      <c r="C69" s="6" t="str">
        <f>$C$2</f>
        <v>SG Union Oberschöneweide</v>
      </c>
      <c r="D69" s="69" t="s">
        <v>17</v>
      </c>
      <c r="E69" s="6" t="str">
        <f>$C$6</f>
        <v>SpG FE 27 / Hansa Berlin</v>
      </c>
      <c r="F69" s="6" t="str">
        <f>F$68</f>
        <v>Kegelsportzentrum Neukloster</v>
      </c>
    </row>
    <row r="70" spans="1:6" ht="12.75" customHeight="1" x14ac:dyDescent="0.2">
      <c r="A70" s="69">
        <f>A69+1</f>
        <v>43</v>
      </c>
      <c r="B70" s="70">
        <f t="shared" si="6"/>
        <v>45312</v>
      </c>
      <c r="C70" s="6" t="str">
        <f>$C$7</f>
        <v>SpG Eberswalde</v>
      </c>
      <c r="D70" s="69" t="s">
        <v>17</v>
      </c>
      <c r="E70" s="6" t="str">
        <f>$C$2</f>
        <v>SG Union Oberschöneweide</v>
      </c>
      <c r="F70" s="6" t="str">
        <f>F$68</f>
        <v>Kegelsportzentrum Neukloster</v>
      </c>
    </row>
    <row r="71" spans="1:6" ht="12.75" customHeight="1" x14ac:dyDescent="0.2">
      <c r="A71" s="69">
        <f>A70+1</f>
        <v>44</v>
      </c>
      <c r="B71" s="70">
        <f t="shared" si="6"/>
        <v>45312</v>
      </c>
      <c r="C71" s="6" t="str">
        <f>$C$6</f>
        <v>SpG FE 27 / Hansa Berlin</v>
      </c>
      <c r="D71" s="69" t="s">
        <v>17</v>
      </c>
      <c r="E71" s="6" t="str">
        <f>$C$3</f>
        <v>KSC Schwarz-Weiss Berlin</v>
      </c>
      <c r="F71" s="6" t="str">
        <f>F$68</f>
        <v>Kegelsportzentrum Neukloster</v>
      </c>
    </row>
    <row r="72" spans="1:6" ht="12.75" customHeight="1" x14ac:dyDescent="0.2">
      <c r="A72" s="69"/>
      <c r="B72" s="69"/>
      <c r="C72" s="6"/>
      <c r="D72" s="6"/>
      <c r="E72" s="6"/>
      <c r="F72" s="6"/>
    </row>
    <row r="73" spans="1:6" ht="12.75" customHeight="1" x14ac:dyDescent="0.2">
      <c r="A73" s="69">
        <f>A71+1</f>
        <v>45</v>
      </c>
      <c r="B73" s="70">
        <f t="shared" si="6"/>
        <v>45312</v>
      </c>
      <c r="C73" s="6" t="str">
        <f>$C$9</f>
        <v>KSC Carat Bremen</v>
      </c>
      <c r="D73" s="69" t="s">
        <v>17</v>
      </c>
      <c r="E73" s="6" t="str">
        <f>$C$13</f>
        <v>Grün-Weiß Cuxhaven</v>
      </c>
      <c r="F73" s="6" t="s">
        <v>123</v>
      </c>
    </row>
    <row r="74" spans="1:6" ht="12.75" customHeight="1" x14ac:dyDescent="0.2">
      <c r="A74" s="69">
        <f>A73+1</f>
        <v>46</v>
      </c>
      <c r="B74" s="70">
        <f t="shared" si="6"/>
        <v>45312</v>
      </c>
      <c r="C74" s="6" t="str">
        <f>$C$8</f>
        <v>KSK Flotte Neun Peine</v>
      </c>
      <c r="D74" s="69" t="s">
        <v>17</v>
      </c>
      <c r="E74" s="6" t="str">
        <f>$C$12</f>
        <v>SG LTS / KCN Bremerhaven</v>
      </c>
      <c r="F74" s="6" t="str">
        <f>F$73</f>
        <v>Hotel-Restaurant Goldenstedt</v>
      </c>
    </row>
    <row r="75" spans="1:6" ht="12.75" customHeight="1" x14ac:dyDescent="0.2">
      <c r="A75" s="69">
        <f>A74+1</f>
        <v>47</v>
      </c>
      <c r="B75" s="70">
        <f t="shared" si="6"/>
        <v>45312</v>
      </c>
      <c r="C75" s="6" t="str">
        <f>$C$13</f>
        <v>Grün-Weiß Cuxhaven</v>
      </c>
      <c r="D75" s="69" t="s">
        <v>17</v>
      </c>
      <c r="E75" s="6" t="str">
        <f>$C$8</f>
        <v>KSK Flotte Neun Peine</v>
      </c>
      <c r="F75" s="6" t="str">
        <f>F$73</f>
        <v>Hotel-Restaurant Goldenstedt</v>
      </c>
    </row>
    <row r="76" spans="1:6" ht="12.75" customHeight="1" x14ac:dyDescent="0.2">
      <c r="A76" s="69">
        <f>A75+1</f>
        <v>48</v>
      </c>
      <c r="B76" s="70">
        <f t="shared" si="6"/>
        <v>45312</v>
      </c>
      <c r="C76" s="6" t="str">
        <f>$C$12</f>
        <v>SG LTS / KCN Bremerhaven</v>
      </c>
      <c r="D76" s="69" t="s">
        <v>17</v>
      </c>
      <c r="E76" s="6" t="str">
        <f>$C$9</f>
        <v>KSC Carat Bremen</v>
      </c>
      <c r="F76" s="6" t="str">
        <f>F$73</f>
        <v>Hotel-Restaurant Goldenstedt</v>
      </c>
    </row>
    <row r="77" spans="1:6" ht="12.75" customHeight="1" x14ac:dyDescent="0.2">
      <c r="A77" s="69"/>
      <c r="B77" s="69"/>
      <c r="C77" s="6"/>
      <c r="D77" s="6"/>
      <c r="E77" s="6"/>
      <c r="F77" s="6"/>
    </row>
    <row r="78" spans="1:6" ht="12.75" customHeight="1" x14ac:dyDescent="0.2">
      <c r="A78" s="69">
        <f>A76+1</f>
        <v>49</v>
      </c>
      <c r="B78" s="70">
        <v>45347</v>
      </c>
      <c r="C78" s="6" t="str">
        <f>$C$7</f>
        <v>SpG Eberswalde</v>
      </c>
      <c r="D78" s="69" t="s">
        <v>17</v>
      </c>
      <c r="E78" s="6" t="str">
        <f>$C$13</f>
        <v>Grün-Weiß Cuxhaven</v>
      </c>
      <c r="F78" s="6" t="s">
        <v>70</v>
      </c>
    </row>
    <row r="79" spans="1:6" ht="12.75" customHeight="1" x14ac:dyDescent="0.2">
      <c r="A79" s="69">
        <f>A78+1</f>
        <v>50</v>
      </c>
      <c r="B79" s="70">
        <f>B$78</f>
        <v>45347</v>
      </c>
      <c r="C79" s="6" t="str">
        <f>$C$6</f>
        <v>SpG FE 27 / Hansa Berlin</v>
      </c>
      <c r="D79" s="69" t="s">
        <v>17</v>
      </c>
      <c r="E79" s="6" t="str">
        <f>$C$12</f>
        <v>SG LTS / KCN Bremerhaven</v>
      </c>
      <c r="F79" s="6" t="str">
        <f>F$78</f>
        <v>Kegelsporthalle Peiner Keglerverein</v>
      </c>
    </row>
    <row r="80" spans="1:6" ht="12.75" customHeight="1" x14ac:dyDescent="0.2">
      <c r="A80" s="69">
        <f>A79+1</f>
        <v>51</v>
      </c>
      <c r="B80" s="70">
        <f t="shared" ref="B80:B91" si="7">B$78</f>
        <v>45347</v>
      </c>
      <c r="C80" s="6" t="str">
        <f>$C$13</f>
        <v>Grün-Weiß Cuxhaven</v>
      </c>
      <c r="D80" s="69" t="s">
        <v>17</v>
      </c>
      <c r="E80" s="6" t="str">
        <f>$C$6</f>
        <v>SpG FE 27 / Hansa Berlin</v>
      </c>
      <c r="F80" s="6" t="str">
        <f>F$78</f>
        <v>Kegelsporthalle Peiner Keglerverein</v>
      </c>
    </row>
    <row r="81" spans="1:6" ht="12.75" customHeight="1" x14ac:dyDescent="0.2">
      <c r="A81" s="69">
        <f>A80+1</f>
        <v>52</v>
      </c>
      <c r="B81" s="70">
        <f t="shared" si="7"/>
        <v>45347</v>
      </c>
      <c r="C81" s="6" t="str">
        <f>$C$12</f>
        <v>SG LTS / KCN Bremerhaven</v>
      </c>
      <c r="D81" s="69" t="s">
        <v>17</v>
      </c>
      <c r="E81" s="6" t="str">
        <f>$C$7</f>
        <v>SpG Eberswalde</v>
      </c>
      <c r="F81" s="6" t="str">
        <f>F$78</f>
        <v>Kegelsporthalle Peiner Keglerverein</v>
      </c>
    </row>
    <row r="82" spans="1:6" ht="12.75" customHeight="1" x14ac:dyDescent="0.2">
      <c r="A82" s="69"/>
      <c r="B82" s="69"/>
      <c r="C82" s="6"/>
      <c r="D82" s="6"/>
      <c r="E82" s="6"/>
      <c r="F82" s="6"/>
    </row>
    <row r="83" spans="1:6" ht="12.75" customHeight="1" x14ac:dyDescent="0.2">
      <c r="A83" s="69">
        <f>A81+1</f>
        <v>53</v>
      </c>
      <c r="B83" s="70">
        <f t="shared" si="7"/>
        <v>45347</v>
      </c>
      <c r="C83" s="6" t="str">
        <f>$C$5</f>
        <v>Team 08-19 Hamburg</v>
      </c>
      <c r="D83" s="69" t="s">
        <v>17</v>
      </c>
      <c r="E83" s="6" t="str">
        <f>$C$9</f>
        <v>KSC Carat Bremen</v>
      </c>
      <c r="F83" s="6" t="s">
        <v>125</v>
      </c>
    </row>
    <row r="84" spans="1:6" ht="12.75" customHeight="1" x14ac:dyDescent="0.2">
      <c r="A84" s="69">
        <f>A83+1</f>
        <v>54</v>
      </c>
      <c r="B84" s="70">
        <f t="shared" si="7"/>
        <v>45347</v>
      </c>
      <c r="C84" s="6" t="str">
        <f>$C$4</f>
        <v>MSC Waren</v>
      </c>
      <c r="D84" s="69" t="s">
        <v>17</v>
      </c>
      <c r="E84" s="6" t="str">
        <f>$C$8</f>
        <v>KSK Flotte Neun Peine</v>
      </c>
      <c r="F84" s="6" t="str">
        <f>F$83</f>
        <v>Kegel- und Schießsportzentrum Uelzen</v>
      </c>
    </row>
    <row r="85" spans="1:6" ht="12.75" customHeight="1" x14ac:dyDescent="0.2">
      <c r="A85" s="69">
        <f>A84+1</f>
        <v>55</v>
      </c>
      <c r="B85" s="70">
        <f t="shared" si="7"/>
        <v>45347</v>
      </c>
      <c r="C85" s="6" t="str">
        <f>$C$9</f>
        <v>KSC Carat Bremen</v>
      </c>
      <c r="D85" s="69" t="s">
        <v>17</v>
      </c>
      <c r="E85" s="6" t="str">
        <f>$C$4</f>
        <v>MSC Waren</v>
      </c>
      <c r="F85" s="6" t="str">
        <f>F$83</f>
        <v>Kegel- und Schießsportzentrum Uelzen</v>
      </c>
    </row>
    <row r="86" spans="1:6" ht="12.75" customHeight="1" x14ac:dyDescent="0.2">
      <c r="A86" s="69">
        <f>A85+1</f>
        <v>56</v>
      </c>
      <c r="B86" s="70">
        <f t="shared" si="7"/>
        <v>45347</v>
      </c>
      <c r="C86" s="6" t="str">
        <f>$C$8</f>
        <v>KSK Flotte Neun Peine</v>
      </c>
      <c r="D86" s="69" t="s">
        <v>17</v>
      </c>
      <c r="E86" s="6" t="str">
        <f>$C$5</f>
        <v>Team 08-19 Hamburg</v>
      </c>
      <c r="F86" s="6" t="str">
        <f>F$83</f>
        <v>Kegel- und Schießsportzentrum Uelzen</v>
      </c>
    </row>
    <row r="87" spans="1:6" ht="12.75" customHeight="1" x14ac:dyDescent="0.2">
      <c r="A87" s="69"/>
      <c r="B87" s="69"/>
      <c r="C87" s="6"/>
      <c r="D87" s="6"/>
      <c r="E87" s="6"/>
      <c r="F87" s="6"/>
    </row>
    <row r="88" spans="1:6" ht="12.75" customHeight="1" x14ac:dyDescent="0.2">
      <c r="A88" s="69">
        <f>A86+1</f>
        <v>57</v>
      </c>
      <c r="B88" s="70">
        <f t="shared" si="7"/>
        <v>45347</v>
      </c>
      <c r="C88" s="6" t="str">
        <f>$C$11</f>
        <v>KSK Oldenburg / Holstein</v>
      </c>
      <c r="D88" s="69" t="s">
        <v>17</v>
      </c>
      <c r="E88" s="6" t="str">
        <f>$C$3</f>
        <v>KSC Schwarz-Weiss Berlin</v>
      </c>
      <c r="F88" s="6" t="s">
        <v>124</v>
      </c>
    </row>
    <row r="89" spans="1:6" ht="12.75" customHeight="1" x14ac:dyDescent="0.2">
      <c r="A89" s="69">
        <f>A88+1</f>
        <v>58</v>
      </c>
      <c r="B89" s="70">
        <f t="shared" si="7"/>
        <v>45347</v>
      </c>
      <c r="C89" s="6" t="str">
        <f>$C$10</f>
        <v>SG Sportkegler Kiel</v>
      </c>
      <c r="D89" s="69" t="s">
        <v>17</v>
      </c>
      <c r="E89" s="6" t="str">
        <f>$C$2</f>
        <v>SG Union Oberschöneweide</v>
      </c>
      <c r="F89" s="6" t="str">
        <f>F$88</f>
        <v>Stadthalle Winsen / Luhe</v>
      </c>
    </row>
    <row r="90" spans="1:6" ht="12.75" customHeight="1" x14ac:dyDescent="0.2">
      <c r="A90" s="69">
        <f>A89+1</f>
        <v>59</v>
      </c>
      <c r="B90" s="70">
        <f t="shared" si="7"/>
        <v>45347</v>
      </c>
      <c r="C90" s="6" t="str">
        <f>$C$3</f>
        <v>KSC Schwarz-Weiss Berlin</v>
      </c>
      <c r="D90" s="69" t="s">
        <v>17</v>
      </c>
      <c r="E90" s="6" t="str">
        <f>$C$10</f>
        <v>SG Sportkegler Kiel</v>
      </c>
      <c r="F90" s="6" t="str">
        <f>F$88</f>
        <v>Stadthalle Winsen / Luhe</v>
      </c>
    </row>
    <row r="91" spans="1:6" ht="12.75" customHeight="1" x14ac:dyDescent="0.2">
      <c r="A91" s="69">
        <f>A90+1</f>
        <v>60</v>
      </c>
      <c r="B91" s="70">
        <f t="shared" si="7"/>
        <v>45347</v>
      </c>
      <c r="C91" s="6" t="str">
        <f>$C$2</f>
        <v>SG Union Oberschöneweide</v>
      </c>
      <c r="D91" s="69" t="s">
        <v>17</v>
      </c>
      <c r="E91" s="6" t="str">
        <f>$C$11</f>
        <v>KSK Oldenburg / Holstein</v>
      </c>
      <c r="F91" s="6" t="str">
        <f>F$88</f>
        <v>Stadthalle Winsen / Luhe</v>
      </c>
    </row>
    <row r="92" spans="1:6" ht="12.75" customHeight="1" x14ac:dyDescent="0.2">
      <c r="A92" s="69"/>
      <c r="B92" s="69"/>
      <c r="C92" s="6"/>
      <c r="D92" s="6"/>
      <c r="E92" s="6"/>
      <c r="F92" s="6"/>
    </row>
    <row r="93" spans="1:6" ht="12.75" customHeight="1" x14ac:dyDescent="0.2">
      <c r="A93" s="69">
        <f>A91+1</f>
        <v>61</v>
      </c>
      <c r="B93" s="70">
        <v>45367</v>
      </c>
      <c r="C93" s="6" t="str">
        <f>$C$2</f>
        <v>SG Union Oberschöneweide</v>
      </c>
      <c r="D93" s="69" t="s">
        <v>17</v>
      </c>
      <c r="E93" s="6" t="str">
        <f>$C$4</f>
        <v>MSC Waren</v>
      </c>
      <c r="F93" s="6" t="s">
        <v>69</v>
      </c>
    </row>
    <row r="94" spans="1:6" ht="12.75" customHeight="1" x14ac:dyDescent="0.2">
      <c r="A94" s="69">
        <f t="shared" ref="A94:A98" si="8">A93+1</f>
        <v>62</v>
      </c>
      <c r="B94" s="70">
        <f>B$93</f>
        <v>45367</v>
      </c>
      <c r="C94" s="6" t="str">
        <f>$C$3</f>
        <v>KSC Schwarz-Weiss Berlin</v>
      </c>
      <c r="D94" s="69" t="s">
        <v>17</v>
      </c>
      <c r="E94" s="6" t="str">
        <f>$C$5</f>
        <v>Team 08-19 Hamburg</v>
      </c>
      <c r="F94" s="6" t="str">
        <f>F$93</f>
        <v>Kegelsportzentrum Lüneburg</v>
      </c>
    </row>
    <row r="95" spans="1:6" ht="12.75" customHeight="1" x14ac:dyDescent="0.2">
      <c r="A95" s="69">
        <f t="shared" si="8"/>
        <v>63</v>
      </c>
      <c r="B95" s="70">
        <f t="shared" ref="B95:B98" si="9">B$93</f>
        <v>45367</v>
      </c>
      <c r="C95" s="6" t="str">
        <f>$C$6</f>
        <v>SpG FE 27 / Hansa Berlin</v>
      </c>
      <c r="D95" s="69" t="s">
        <v>17</v>
      </c>
      <c r="E95" s="6" t="str">
        <f>$C$8</f>
        <v>KSK Flotte Neun Peine</v>
      </c>
      <c r="F95" s="6" t="str">
        <f t="shared" ref="F95:F98" si="10">F$93</f>
        <v>Kegelsportzentrum Lüneburg</v>
      </c>
    </row>
    <row r="96" spans="1:6" ht="12.75" customHeight="1" x14ac:dyDescent="0.2">
      <c r="A96" s="69">
        <f t="shared" si="8"/>
        <v>64</v>
      </c>
      <c r="B96" s="70">
        <f t="shared" si="9"/>
        <v>45367</v>
      </c>
      <c r="C96" s="6" t="str">
        <f>$C$7</f>
        <v>SpG Eberswalde</v>
      </c>
      <c r="D96" s="69" t="s">
        <v>17</v>
      </c>
      <c r="E96" s="6" t="str">
        <f>$C$9</f>
        <v>KSC Carat Bremen</v>
      </c>
      <c r="F96" s="6" t="str">
        <f t="shared" si="10"/>
        <v>Kegelsportzentrum Lüneburg</v>
      </c>
    </row>
    <row r="97" spans="1:6" ht="12.75" customHeight="1" x14ac:dyDescent="0.2">
      <c r="A97" s="69">
        <f t="shared" si="8"/>
        <v>65</v>
      </c>
      <c r="B97" s="70">
        <f t="shared" si="9"/>
        <v>45367</v>
      </c>
      <c r="C97" s="6" t="str">
        <f>$C$10</f>
        <v>SG Sportkegler Kiel</v>
      </c>
      <c r="D97" s="69" t="s">
        <v>17</v>
      </c>
      <c r="E97" s="6" t="str">
        <f>$C$12</f>
        <v>SG LTS / KCN Bremerhaven</v>
      </c>
      <c r="F97" s="6" t="str">
        <f t="shared" si="10"/>
        <v>Kegelsportzentrum Lüneburg</v>
      </c>
    </row>
    <row r="98" spans="1:6" ht="12.75" customHeight="1" x14ac:dyDescent="0.2">
      <c r="A98" s="69">
        <f t="shared" si="8"/>
        <v>66</v>
      </c>
      <c r="B98" s="70">
        <f t="shared" si="9"/>
        <v>45367</v>
      </c>
      <c r="C98" s="6" t="str">
        <f>$C$11</f>
        <v>KSK Oldenburg / Holstein</v>
      </c>
      <c r="D98" s="69" t="s">
        <v>17</v>
      </c>
      <c r="E98" s="6" t="str">
        <f>$C$13</f>
        <v>Grün-Weiß Cuxhaven</v>
      </c>
      <c r="F98" s="6" t="str">
        <f t="shared" si="10"/>
        <v>Kegelsportzentrum Lüneburg</v>
      </c>
    </row>
    <row r="99" spans="1:6" ht="12.75" customHeight="1" x14ac:dyDescent="0.25">
      <c r="A99" s="69"/>
      <c r="B99" s="69"/>
      <c r="C99" s="6"/>
      <c r="D99" s="6"/>
      <c r="E99" s="6"/>
      <c r="F99" s="4"/>
    </row>
    <row r="100" spans="1:6" x14ac:dyDescent="0.2">
      <c r="A100" s="69">
        <v>67</v>
      </c>
      <c r="B100" s="70">
        <v>45178</v>
      </c>
      <c r="C100" s="6" t="str">
        <f>$E$2</f>
        <v>SG Union Oberschöneweide</v>
      </c>
      <c r="D100" s="69" t="s">
        <v>17</v>
      </c>
      <c r="E100" s="6" t="str">
        <f>$E$6</f>
        <v>KV Hansa Stralsund</v>
      </c>
      <c r="F100" s="6" t="str">
        <f>VLOOKUP(C100,Einzelwertung!V$5:W$49,2,0)</f>
        <v>KSZ Hämmerlingstraße Berlin</v>
      </c>
    </row>
    <row r="101" spans="1:6" x14ac:dyDescent="0.2">
      <c r="A101" s="69">
        <f>A100+1</f>
        <v>68</v>
      </c>
      <c r="B101" s="70">
        <f>B100</f>
        <v>45178</v>
      </c>
      <c r="C101" s="6" t="str">
        <f>$E$3</f>
        <v>Hertha BSC</v>
      </c>
      <c r="D101" s="69" t="s">
        <v>17</v>
      </c>
      <c r="E101" s="6" t="str">
        <f>$E$7</f>
        <v>SV 90 Fehrbellin</v>
      </c>
      <c r="F101" s="6" t="str">
        <f>VLOOKUP(C101,Einzelwertung!V$5:W$49,2,0)</f>
        <v>Kegelcenter Lok Schöneweide Berlin</v>
      </c>
    </row>
    <row r="102" spans="1:6" x14ac:dyDescent="0.2">
      <c r="A102" s="69">
        <f>A101+1</f>
        <v>69</v>
      </c>
      <c r="B102" s="70">
        <f>B100</f>
        <v>45178</v>
      </c>
      <c r="C102" s="6" t="str">
        <f>$E$4</f>
        <v>KSG Cuxhaven / Stade</v>
      </c>
      <c r="D102" s="69" t="s">
        <v>17</v>
      </c>
      <c r="E102" s="6" t="str">
        <f>$E$10</f>
        <v>NKC 72 Berlin</v>
      </c>
      <c r="F102" s="6" t="str">
        <f>VLOOKUP(C102,Einzelwertung!V$5:W$49,2,0)</f>
        <v>Kegelzentrum Cuxhaven</v>
      </c>
    </row>
    <row r="103" spans="1:6" ht="12.75" customHeight="1" x14ac:dyDescent="0.2">
      <c r="A103" s="69">
        <f>A102+1</f>
        <v>70</v>
      </c>
      <c r="B103" s="70">
        <f t="shared" ref="B103:B105" si="11">B101</f>
        <v>45178</v>
      </c>
      <c r="C103" s="6" t="str">
        <f>$E$5</f>
        <v>KSK Rivalen Hannover</v>
      </c>
      <c r="D103" s="69" t="s">
        <v>17</v>
      </c>
      <c r="E103" s="6" t="str">
        <f>$E$11</f>
        <v>Spandauer SV</v>
      </c>
      <c r="F103" s="6" t="str">
        <f>VLOOKUP(C103,Einzelwertung!V$5:W$49,2,0)</f>
        <v>Kegelcenter &amp; Sportsbar Hannover</v>
      </c>
    </row>
    <row r="104" spans="1:6" ht="12.75" customHeight="1" x14ac:dyDescent="0.2">
      <c r="A104" s="69">
        <f>A103+1</f>
        <v>71</v>
      </c>
      <c r="B104" s="70">
        <f t="shared" si="11"/>
        <v>45178</v>
      </c>
      <c r="C104" s="6" t="str">
        <f>$E$12</f>
        <v>SG Sportkegler Kiel I</v>
      </c>
      <c r="D104" s="69" t="s">
        <v>17</v>
      </c>
      <c r="E104" s="6" t="str">
        <f>$E$8</f>
        <v>KSK Oldenburg / Holstein</v>
      </c>
      <c r="F104" s="6" t="str">
        <f>VLOOKUP(C104,Einzelwertung!V$5:W$49,2,0)</f>
        <v>ETV – Vereinsheim Kiel</v>
      </c>
    </row>
    <row r="105" spans="1:6" ht="12.75" customHeight="1" x14ac:dyDescent="0.2">
      <c r="A105" s="69">
        <f>A104+1</f>
        <v>72</v>
      </c>
      <c r="B105" s="70">
        <f t="shared" si="11"/>
        <v>45178</v>
      </c>
      <c r="C105" s="6" t="str">
        <f>$E$13</f>
        <v>SG Sportkegler Kiel II</v>
      </c>
      <c r="D105" s="69" t="s">
        <v>17</v>
      </c>
      <c r="E105" s="6" t="str">
        <f>$E$9</f>
        <v>SVL Seedorf von 1919</v>
      </c>
      <c r="F105" s="6" t="str">
        <f>VLOOKUP(C105,Einzelwertung!V$5:W$49,2,0)</f>
        <v>Haus des Sports Kiel</v>
      </c>
    </row>
    <row r="106" spans="1:6" ht="12.75" customHeight="1" x14ac:dyDescent="0.2">
      <c r="A106" s="69"/>
      <c r="B106" s="70"/>
      <c r="C106" s="6"/>
      <c r="D106" s="69"/>
      <c r="E106" s="6"/>
      <c r="F106" s="6"/>
    </row>
    <row r="107" spans="1:6" ht="12.75" customHeight="1" x14ac:dyDescent="0.2">
      <c r="A107" s="69">
        <f>A105+1</f>
        <v>73</v>
      </c>
      <c r="B107" s="70">
        <f>B100+1</f>
        <v>45179</v>
      </c>
      <c r="C107" s="6" t="str">
        <f>$E$2</f>
        <v>SG Union Oberschöneweide</v>
      </c>
      <c r="D107" s="69" t="s">
        <v>17</v>
      </c>
      <c r="E107" s="6" t="str">
        <f>$E$7</f>
        <v>SV 90 Fehrbellin</v>
      </c>
      <c r="F107" s="6" t="str">
        <f>VLOOKUP(C107,Einzelwertung!V$5:W$49,2,0)</f>
        <v>KSZ Hämmerlingstraße Berlin</v>
      </c>
    </row>
    <row r="108" spans="1:6" ht="12.75" customHeight="1" x14ac:dyDescent="0.2">
      <c r="A108" s="69">
        <f>A107+1</f>
        <v>74</v>
      </c>
      <c r="B108" s="70">
        <f t="shared" ref="B108:B112" si="12">B107</f>
        <v>45179</v>
      </c>
      <c r="C108" s="6" t="str">
        <f>$E$3</f>
        <v>Hertha BSC</v>
      </c>
      <c r="D108" s="69" t="s">
        <v>17</v>
      </c>
      <c r="E108" s="6" t="str">
        <f>$E$6</f>
        <v>KV Hansa Stralsund</v>
      </c>
      <c r="F108" s="6" t="str">
        <f>VLOOKUP(C108,Einzelwertung!V$5:W$49,2,0)</f>
        <v>Kegelcenter Lok Schöneweide Berlin</v>
      </c>
    </row>
    <row r="109" spans="1:6" ht="12.75" customHeight="1" x14ac:dyDescent="0.2">
      <c r="A109" s="69">
        <f t="shared" ref="A109:A112" si="13">A108+1</f>
        <v>75</v>
      </c>
      <c r="B109" s="70">
        <f t="shared" si="12"/>
        <v>45179</v>
      </c>
      <c r="C109" s="6" t="str">
        <f>$E$4</f>
        <v>KSG Cuxhaven / Stade</v>
      </c>
      <c r="D109" s="69" t="s">
        <v>17</v>
      </c>
      <c r="E109" s="6" t="str">
        <f>$E$11</f>
        <v>Spandauer SV</v>
      </c>
      <c r="F109" s="6" t="str">
        <f>VLOOKUP(C109,Einzelwertung!V$5:W$49,2,0)</f>
        <v>Kegelzentrum Cuxhaven</v>
      </c>
    </row>
    <row r="110" spans="1:6" ht="12.75" customHeight="1" x14ac:dyDescent="0.2">
      <c r="A110" s="69">
        <f t="shared" si="13"/>
        <v>76</v>
      </c>
      <c r="B110" s="70">
        <f t="shared" si="12"/>
        <v>45179</v>
      </c>
      <c r="C110" s="6" t="str">
        <f>$E$5</f>
        <v>KSK Rivalen Hannover</v>
      </c>
      <c r="D110" s="69" t="s">
        <v>17</v>
      </c>
      <c r="E110" s="6" t="str">
        <f>$E$10</f>
        <v>NKC 72 Berlin</v>
      </c>
      <c r="F110" s="6" t="str">
        <f>VLOOKUP(C110,Einzelwertung!V$5:W$49,2,0)</f>
        <v>Kegelcenter &amp; Sportsbar Hannover</v>
      </c>
    </row>
    <row r="111" spans="1:6" ht="12.75" customHeight="1" x14ac:dyDescent="0.2">
      <c r="A111" s="69">
        <f t="shared" si="13"/>
        <v>77</v>
      </c>
      <c r="B111" s="70">
        <f t="shared" si="12"/>
        <v>45179</v>
      </c>
      <c r="C111" s="6" t="str">
        <f>$E$12</f>
        <v>SG Sportkegler Kiel I</v>
      </c>
      <c r="D111" s="69" t="s">
        <v>17</v>
      </c>
      <c r="E111" s="6" t="str">
        <f>$E$9</f>
        <v>SVL Seedorf von 1919</v>
      </c>
      <c r="F111" s="6" t="str">
        <f>VLOOKUP(C111,Einzelwertung!V$5:W$49,2,0)</f>
        <v>ETV – Vereinsheim Kiel</v>
      </c>
    </row>
    <row r="112" spans="1:6" ht="12.75" customHeight="1" x14ac:dyDescent="0.2">
      <c r="A112" s="69">
        <f t="shared" si="13"/>
        <v>78</v>
      </c>
      <c r="B112" s="70">
        <f t="shared" si="12"/>
        <v>45179</v>
      </c>
      <c r="C112" s="6" t="str">
        <f>$E$13</f>
        <v>SG Sportkegler Kiel II</v>
      </c>
      <c r="D112" s="69" t="s">
        <v>17</v>
      </c>
      <c r="E112" s="6" t="str">
        <f>$E$8</f>
        <v>KSK Oldenburg / Holstein</v>
      </c>
      <c r="F112" s="6" t="str">
        <f>VLOOKUP(C112,Einzelwertung!V$5:W$49,2,0)</f>
        <v>Haus des Sports Kiel</v>
      </c>
    </row>
    <row r="113" spans="1:6" ht="12.75" customHeight="1" x14ac:dyDescent="0.2">
      <c r="A113" s="69"/>
      <c r="B113" s="70"/>
      <c r="C113" s="6"/>
      <c r="D113" s="69"/>
      <c r="E113" s="6"/>
      <c r="F113" s="6"/>
    </row>
    <row r="114" spans="1:6" ht="12.75" customHeight="1" x14ac:dyDescent="0.2">
      <c r="A114" s="69">
        <f>A112+1</f>
        <v>79</v>
      </c>
      <c r="B114" s="70">
        <v>45206</v>
      </c>
      <c r="C114" s="6" t="str">
        <f>$E$10</f>
        <v>NKC 72 Berlin</v>
      </c>
      <c r="D114" s="69" t="s">
        <v>17</v>
      </c>
      <c r="E114" s="6" t="str">
        <f>$E$2</f>
        <v>SG Union Oberschöneweide</v>
      </c>
      <c r="F114" s="6" t="str">
        <f>VLOOKUP(C114,Einzelwertung!V$5:W$49,2,0)</f>
        <v>Willi-Sänger-Stadion Berlin</v>
      </c>
    </row>
    <row r="115" spans="1:6" ht="12.75" customHeight="1" x14ac:dyDescent="0.2">
      <c r="A115" s="69">
        <f>A114+1</f>
        <v>80</v>
      </c>
      <c r="B115" s="70">
        <f t="shared" ref="B115:B119" si="14">B114</f>
        <v>45206</v>
      </c>
      <c r="C115" s="6" t="str">
        <f>$E$11</f>
        <v>Spandauer SV</v>
      </c>
      <c r="D115" s="69" t="s">
        <v>17</v>
      </c>
      <c r="E115" s="6" t="str">
        <f>$E$3</f>
        <v>Hertha BSC</v>
      </c>
      <c r="F115" s="6" t="str">
        <f>VLOOKUP(C115,Einzelwertung!V$5:W$49,2,0)</f>
        <v>Robert von Siemens Sporthalle Berlin</v>
      </c>
    </row>
    <row r="116" spans="1:6" ht="12.75" customHeight="1" x14ac:dyDescent="0.2">
      <c r="A116" s="69">
        <f t="shared" ref="A116:A119" si="15">A115+1</f>
        <v>81</v>
      </c>
      <c r="B116" s="70">
        <f t="shared" si="14"/>
        <v>45206</v>
      </c>
      <c r="C116" s="6" t="str">
        <f>$E$8</f>
        <v>KSK Oldenburg / Holstein</v>
      </c>
      <c r="D116" s="69" t="s">
        <v>17</v>
      </c>
      <c r="E116" s="6" t="str">
        <f>$E$4</f>
        <v>KSG Cuxhaven / Stade</v>
      </c>
      <c r="F116" s="6" t="str">
        <f>VLOOKUP(C116,Einzelwertung!V$5:W$49,2,0)</f>
        <v>Kegel- und Bowlingcenter Oldenburg i. H.</v>
      </c>
    </row>
    <row r="117" spans="1:6" ht="12.75" customHeight="1" x14ac:dyDescent="0.2">
      <c r="A117" s="69">
        <f t="shared" si="15"/>
        <v>82</v>
      </c>
      <c r="B117" s="70">
        <f t="shared" si="14"/>
        <v>45206</v>
      </c>
      <c r="C117" s="6" t="str">
        <f>$E$9</f>
        <v>SVL Seedorf von 1919</v>
      </c>
      <c r="D117" s="69" t="s">
        <v>17</v>
      </c>
      <c r="E117" s="6" t="str">
        <f>$E$5</f>
        <v>KSK Rivalen Hannover</v>
      </c>
      <c r="F117" s="6" t="str">
        <f>VLOOKUP(C117,Einzelwertung!V$5:W$49,2,0)</f>
        <v>Kegelbahn SVL Seedorf</v>
      </c>
    </row>
    <row r="118" spans="1:6" ht="12.75" customHeight="1" x14ac:dyDescent="0.2">
      <c r="A118" s="69">
        <f t="shared" si="15"/>
        <v>83</v>
      </c>
      <c r="B118" s="70">
        <f t="shared" si="14"/>
        <v>45206</v>
      </c>
      <c r="C118" s="6" t="str">
        <f>$E$6</f>
        <v>KV Hansa Stralsund</v>
      </c>
      <c r="D118" s="69" t="s">
        <v>17</v>
      </c>
      <c r="E118" s="6" t="str">
        <f>$E$12</f>
        <v>SG Sportkegler Kiel I</v>
      </c>
      <c r="F118" s="6" t="str">
        <f>VLOOKUP(C118,Einzelwertung!V$5:W$49,2,0)</f>
        <v>Bundeskegelbahn Stralsund</v>
      </c>
    </row>
    <row r="119" spans="1:6" ht="12.75" customHeight="1" x14ac:dyDescent="0.2">
      <c r="A119" s="69">
        <f t="shared" si="15"/>
        <v>84</v>
      </c>
      <c r="B119" s="70">
        <f t="shared" si="14"/>
        <v>45206</v>
      </c>
      <c r="C119" s="6" t="str">
        <f>$E$7</f>
        <v>SV 90 Fehrbellin</v>
      </c>
      <c r="D119" s="69" t="s">
        <v>17</v>
      </c>
      <c r="E119" s="6" t="str">
        <f>$E$13</f>
        <v>SG Sportkegler Kiel II</v>
      </c>
      <c r="F119" s="6" t="str">
        <f>VLOOKUP(C119,Einzelwertung!V$5:W$49,2,0)</f>
        <v>Kegelsportstätte SV 90 Fehrbellin</v>
      </c>
    </row>
    <row r="120" spans="1:6" ht="12.75" customHeight="1" x14ac:dyDescent="0.2">
      <c r="A120" s="69"/>
      <c r="B120" s="70"/>
      <c r="C120" s="6"/>
      <c r="D120" s="69"/>
      <c r="E120" s="6"/>
      <c r="F120" s="6"/>
    </row>
    <row r="121" spans="1:6" ht="12.75" customHeight="1" x14ac:dyDescent="0.2">
      <c r="A121" s="69">
        <f>A119+1</f>
        <v>85</v>
      </c>
      <c r="B121" s="70">
        <f>B114+1</f>
        <v>45207</v>
      </c>
      <c r="C121" s="6" t="str">
        <f>$E$10</f>
        <v>NKC 72 Berlin</v>
      </c>
      <c r="D121" s="69" t="s">
        <v>17</v>
      </c>
      <c r="E121" s="6" t="str">
        <f>$E$3</f>
        <v>Hertha BSC</v>
      </c>
      <c r="F121" s="6" t="str">
        <f>VLOOKUP(C121,Einzelwertung!V$5:W$49,2,0)</f>
        <v>Willi-Sänger-Stadion Berlin</v>
      </c>
    </row>
    <row r="122" spans="1:6" ht="12.75" customHeight="1" x14ac:dyDescent="0.2">
      <c r="A122" s="69">
        <f>A121+1</f>
        <v>86</v>
      </c>
      <c r="B122" s="70">
        <f t="shared" ref="B122:B126" si="16">B121</f>
        <v>45207</v>
      </c>
      <c r="C122" s="6" t="str">
        <f>$E$11</f>
        <v>Spandauer SV</v>
      </c>
      <c r="D122" s="69" t="s">
        <v>17</v>
      </c>
      <c r="E122" s="6" t="str">
        <f>$E$2</f>
        <v>SG Union Oberschöneweide</v>
      </c>
      <c r="F122" s="6" t="str">
        <f>VLOOKUP(C122,Einzelwertung!V$5:W$49,2,0)</f>
        <v>Robert von Siemens Sporthalle Berlin</v>
      </c>
    </row>
    <row r="123" spans="1:6" ht="12.75" customHeight="1" x14ac:dyDescent="0.2">
      <c r="A123" s="69">
        <f t="shared" ref="A123:A126" si="17">A122+1</f>
        <v>87</v>
      </c>
      <c r="B123" s="70">
        <f t="shared" si="16"/>
        <v>45207</v>
      </c>
      <c r="C123" s="6" t="str">
        <f>$E$8</f>
        <v>KSK Oldenburg / Holstein</v>
      </c>
      <c r="D123" s="69" t="s">
        <v>17</v>
      </c>
      <c r="E123" s="6" t="str">
        <f>$E$5</f>
        <v>KSK Rivalen Hannover</v>
      </c>
      <c r="F123" s="6" t="str">
        <f>VLOOKUP(C123,Einzelwertung!V$5:W$49,2,0)</f>
        <v>Kegel- und Bowlingcenter Oldenburg i. H.</v>
      </c>
    </row>
    <row r="124" spans="1:6" ht="12.75" customHeight="1" x14ac:dyDescent="0.2">
      <c r="A124" s="69">
        <f t="shared" si="17"/>
        <v>88</v>
      </c>
      <c r="B124" s="70">
        <f t="shared" si="16"/>
        <v>45207</v>
      </c>
      <c r="C124" s="6" t="str">
        <f>$E$9</f>
        <v>SVL Seedorf von 1919</v>
      </c>
      <c r="D124" s="69" t="s">
        <v>17</v>
      </c>
      <c r="E124" s="6" t="str">
        <f>$E$4</f>
        <v>KSG Cuxhaven / Stade</v>
      </c>
      <c r="F124" s="6" t="str">
        <f>VLOOKUP(C124,Einzelwertung!V$5:W$49,2,0)</f>
        <v>Kegelbahn SVL Seedorf</v>
      </c>
    </row>
    <row r="125" spans="1:6" ht="12.75" customHeight="1" x14ac:dyDescent="0.2">
      <c r="A125" s="69">
        <f t="shared" si="17"/>
        <v>89</v>
      </c>
      <c r="B125" s="70">
        <f t="shared" si="16"/>
        <v>45207</v>
      </c>
      <c r="C125" s="6" t="str">
        <f>$E$6</f>
        <v>KV Hansa Stralsund</v>
      </c>
      <c r="D125" s="69" t="s">
        <v>17</v>
      </c>
      <c r="E125" s="6" t="str">
        <f>$E$13</f>
        <v>SG Sportkegler Kiel II</v>
      </c>
      <c r="F125" s="6" t="str">
        <f>VLOOKUP(C125,Einzelwertung!V$5:W$49,2,0)</f>
        <v>Bundeskegelbahn Stralsund</v>
      </c>
    </row>
    <row r="126" spans="1:6" ht="12.75" customHeight="1" x14ac:dyDescent="0.2">
      <c r="A126" s="69">
        <f t="shared" si="17"/>
        <v>90</v>
      </c>
      <c r="B126" s="70">
        <f t="shared" si="16"/>
        <v>45207</v>
      </c>
      <c r="C126" s="6" t="str">
        <f>$E$7</f>
        <v>SV 90 Fehrbellin</v>
      </c>
      <c r="D126" s="69" t="s">
        <v>17</v>
      </c>
      <c r="E126" s="6" t="str">
        <f>$E$12</f>
        <v>SG Sportkegler Kiel I</v>
      </c>
      <c r="F126" s="6" t="str">
        <f>VLOOKUP(C126,Einzelwertung!V$5:W$49,2,0)</f>
        <v>Kegelsportstätte SV 90 Fehrbellin</v>
      </c>
    </row>
    <row r="127" spans="1:6" ht="12.75" customHeight="1" x14ac:dyDescent="0.2">
      <c r="F127" s="6"/>
    </row>
    <row r="128" spans="1:6" ht="12.75" customHeight="1" x14ac:dyDescent="0.2">
      <c r="A128" s="69">
        <f>A126+1</f>
        <v>91</v>
      </c>
      <c r="B128" s="70">
        <v>45220</v>
      </c>
      <c r="C128" s="6" t="str">
        <f>$E$2</f>
        <v>SG Union Oberschöneweide</v>
      </c>
      <c r="D128" s="69" t="s">
        <v>17</v>
      </c>
      <c r="E128" s="6" t="str">
        <f>$E$12</f>
        <v>SG Sportkegler Kiel I</v>
      </c>
      <c r="F128" s="6" t="str">
        <f>VLOOKUP(C128,Einzelwertung!V$5:W$49,2,0)</f>
        <v>KSZ Hämmerlingstraße Berlin</v>
      </c>
    </row>
    <row r="129" spans="1:6" ht="12.75" customHeight="1" x14ac:dyDescent="0.2">
      <c r="A129" s="69">
        <f>A128+1</f>
        <v>92</v>
      </c>
      <c r="B129" s="70">
        <f t="shared" ref="B129:B133" si="18">B128</f>
        <v>45220</v>
      </c>
      <c r="C129" s="6" t="str">
        <f>$E$3</f>
        <v>Hertha BSC</v>
      </c>
      <c r="D129" s="69" t="s">
        <v>17</v>
      </c>
      <c r="E129" s="6" t="str">
        <f>$E$13</f>
        <v>SG Sportkegler Kiel II</v>
      </c>
      <c r="F129" s="6" t="str">
        <f>VLOOKUP(C129,Einzelwertung!V$5:W$49,2,0)</f>
        <v>Kegelcenter Lok Schöneweide Berlin</v>
      </c>
    </row>
    <row r="130" spans="1:6" ht="12.75" customHeight="1" x14ac:dyDescent="0.2">
      <c r="A130" s="69">
        <f t="shared" ref="A130:A133" si="19">A129+1</f>
        <v>93</v>
      </c>
      <c r="B130" s="70">
        <f t="shared" si="18"/>
        <v>45220</v>
      </c>
      <c r="C130" s="6" t="str">
        <f>$E$4</f>
        <v>KSG Cuxhaven / Stade</v>
      </c>
      <c r="D130" s="69" t="s">
        <v>17</v>
      </c>
      <c r="E130" s="6" t="str">
        <f>$E$6</f>
        <v>KV Hansa Stralsund</v>
      </c>
      <c r="F130" s="6" t="str">
        <f>VLOOKUP(C130,Einzelwertung!V$5:W$49,2,0)</f>
        <v>Kegelzentrum Cuxhaven</v>
      </c>
    </row>
    <row r="131" spans="1:6" ht="12.75" customHeight="1" x14ac:dyDescent="0.2">
      <c r="A131" s="69">
        <f t="shared" si="19"/>
        <v>94</v>
      </c>
      <c r="B131" s="70">
        <f t="shared" si="18"/>
        <v>45220</v>
      </c>
      <c r="C131" s="6" t="str">
        <f>$E$5</f>
        <v>KSK Rivalen Hannover</v>
      </c>
      <c r="D131" s="69" t="s">
        <v>17</v>
      </c>
      <c r="E131" s="6" t="str">
        <f>$E$7</f>
        <v>SV 90 Fehrbellin</v>
      </c>
      <c r="F131" s="6" t="str">
        <f>VLOOKUP(C131,Einzelwertung!V$5:W$49,2,0)</f>
        <v>Kegelcenter &amp; Sportsbar Hannover</v>
      </c>
    </row>
    <row r="132" spans="1:6" ht="12.75" customHeight="1" x14ac:dyDescent="0.2">
      <c r="A132" s="69">
        <f t="shared" si="19"/>
        <v>95</v>
      </c>
      <c r="B132" s="70">
        <f t="shared" si="18"/>
        <v>45220</v>
      </c>
      <c r="C132" s="6" t="str">
        <f>$E$10</f>
        <v>NKC 72 Berlin</v>
      </c>
      <c r="D132" s="69" t="s">
        <v>17</v>
      </c>
      <c r="E132" s="6" t="str">
        <f>$E$8</f>
        <v>KSK Oldenburg / Holstein</v>
      </c>
      <c r="F132" s="6" t="str">
        <f>VLOOKUP(C132,Einzelwertung!V$5:W$49,2,0)</f>
        <v>Willi-Sänger-Stadion Berlin</v>
      </c>
    </row>
    <row r="133" spans="1:6" ht="12.75" customHeight="1" x14ac:dyDescent="0.2">
      <c r="A133" s="69">
        <f t="shared" si="19"/>
        <v>96</v>
      </c>
      <c r="B133" s="70">
        <f t="shared" si="18"/>
        <v>45220</v>
      </c>
      <c r="C133" s="6" t="str">
        <f>$E$11</f>
        <v>Spandauer SV</v>
      </c>
      <c r="D133" s="69" t="s">
        <v>17</v>
      </c>
      <c r="E133" s="6" t="str">
        <f>$E$9</f>
        <v>SVL Seedorf von 1919</v>
      </c>
      <c r="F133" s="6" t="str">
        <f>VLOOKUP(C133,Einzelwertung!V$5:W$49,2,0)</f>
        <v>Robert von Siemens Sporthalle Berlin</v>
      </c>
    </row>
    <row r="134" spans="1:6" ht="12.75" customHeight="1" x14ac:dyDescent="0.2">
      <c r="A134" s="69"/>
      <c r="B134" s="70"/>
      <c r="C134" s="6"/>
      <c r="D134" s="69"/>
      <c r="E134" s="6"/>
      <c r="F134" s="6"/>
    </row>
    <row r="135" spans="1:6" ht="12.75" customHeight="1" x14ac:dyDescent="0.2">
      <c r="A135" s="69">
        <f>A133+1</f>
        <v>97</v>
      </c>
      <c r="B135" s="70">
        <f>B128+1</f>
        <v>45221</v>
      </c>
      <c r="C135" s="6" t="str">
        <f>$E$2</f>
        <v>SG Union Oberschöneweide</v>
      </c>
      <c r="D135" s="69" t="s">
        <v>17</v>
      </c>
      <c r="E135" s="6" t="str">
        <f>$E$13</f>
        <v>SG Sportkegler Kiel II</v>
      </c>
      <c r="F135" s="6" t="str">
        <f>VLOOKUP(C135,Einzelwertung!V$5:W$49,2,0)</f>
        <v>KSZ Hämmerlingstraße Berlin</v>
      </c>
    </row>
    <row r="136" spans="1:6" ht="12.75" customHeight="1" x14ac:dyDescent="0.2">
      <c r="A136" s="69">
        <f>A135+1</f>
        <v>98</v>
      </c>
      <c r="B136" s="70">
        <f t="shared" ref="B136:B140" si="20">B135</f>
        <v>45221</v>
      </c>
      <c r="C136" s="6" t="str">
        <f>$E$3</f>
        <v>Hertha BSC</v>
      </c>
      <c r="D136" s="69" t="s">
        <v>17</v>
      </c>
      <c r="E136" s="6" t="str">
        <f>$E$12</f>
        <v>SG Sportkegler Kiel I</v>
      </c>
      <c r="F136" s="6" t="str">
        <f>VLOOKUP(C136,Einzelwertung!V$5:W$49,2,0)</f>
        <v>Kegelcenter Lok Schöneweide Berlin</v>
      </c>
    </row>
    <row r="137" spans="1:6" ht="12.75" customHeight="1" x14ac:dyDescent="0.2">
      <c r="A137" s="69">
        <f t="shared" ref="A137:A140" si="21">A136+1</f>
        <v>99</v>
      </c>
      <c r="B137" s="70">
        <f t="shared" si="20"/>
        <v>45221</v>
      </c>
      <c r="C137" s="6" t="str">
        <f>$E$4</f>
        <v>KSG Cuxhaven / Stade</v>
      </c>
      <c r="D137" s="69" t="s">
        <v>17</v>
      </c>
      <c r="E137" s="6" t="str">
        <f>$E$7</f>
        <v>SV 90 Fehrbellin</v>
      </c>
      <c r="F137" s="6" t="str">
        <f>VLOOKUP(C137,Einzelwertung!V$5:W$49,2,0)</f>
        <v>Kegelzentrum Cuxhaven</v>
      </c>
    </row>
    <row r="138" spans="1:6" ht="12.75" customHeight="1" x14ac:dyDescent="0.2">
      <c r="A138" s="69">
        <f t="shared" si="21"/>
        <v>100</v>
      </c>
      <c r="B138" s="70">
        <f t="shared" si="20"/>
        <v>45221</v>
      </c>
      <c r="C138" s="6" t="str">
        <f>$E$5</f>
        <v>KSK Rivalen Hannover</v>
      </c>
      <c r="D138" s="69" t="s">
        <v>17</v>
      </c>
      <c r="E138" s="6" t="str">
        <f>$E$6</f>
        <v>KV Hansa Stralsund</v>
      </c>
      <c r="F138" s="6" t="str">
        <f>VLOOKUP(C138,Einzelwertung!V$5:W$49,2,0)</f>
        <v>Kegelcenter &amp; Sportsbar Hannover</v>
      </c>
    </row>
    <row r="139" spans="1:6" ht="12.75" customHeight="1" x14ac:dyDescent="0.2">
      <c r="A139" s="69">
        <f t="shared" si="21"/>
        <v>101</v>
      </c>
      <c r="B139" s="70">
        <f t="shared" si="20"/>
        <v>45221</v>
      </c>
      <c r="C139" s="6" t="str">
        <f>$E$10</f>
        <v>NKC 72 Berlin</v>
      </c>
      <c r="D139" s="69" t="s">
        <v>17</v>
      </c>
      <c r="E139" s="6" t="str">
        <f>$E$9</f>
        <v>SVL Seedorf von 1919</v>
      </c>
      <c r="F139" s="6" t="str">
        <f>VLOOKUP(C139,Einzelwertung!V$5:W$49,2,0)</f>
        <v>Willi-Sänger-Stadion Berlin</v>
      </c>
    </row>
    <row r="140" spans="1:6" ht="12.75" customHeight="1" x14ac:dyDescent="0.2">
      <c r="A140" s="69">
        <f t="shared" si="21"/>
        <v>102</v>
      </c>
      <c r="B140" s="70">
        <f t="shared" si="20"/>
        <v>45221</v>
      </c>
      <c r="C140" s="6" t="str">
        <f>$E$11</f>
        <v>Spandauer SV</v>
      </c>
      <c r="D140" s="69" t="s">
        <v>17</v>
      </c>
      <c r="E140" s="6" t="str">
        <f>$E$8</f>
        <v>KSK Oldenburg / Holstein</v>
      </c>
      <c r="F140" s="6" t="str">
        <f>VLOOKUP(C140,Einzelwertung!V$5:W$49,2,0)</f>
        <v>Robert von Siemens Sporthalle Berlin</v>
      </c>
    </row>
    <row r="141" spans="1:6" ht="12.75" customHeight="1" x14ac:dyDescent="0.2">
      <c r="A141" s="69"/>
      <c r="B141" s="70"/>
      <c r="C141" s="6"/>
      <c r="D141" s="69"/>
      <c r="E141" s="6"/>
      <c r="F141" s="6"/>
    </row>
    <row r="142" spans="1:6" ht="12.75" customHeight="1" x14ac:dyDescent="0.2">
      <c r="A142" s="69">
        <f>A140+1</f>
        <v>103</v>
      </c>
      <c r="B142" s="70">
        <v>45234</v>
      </c>
      <c r="C142" s="6" t="str">
        <f>$E$8</f>
        <v>KSK Oldenburg / Holstein</v>
      </c>
      <c r="D142" s="69" t="s">
        <v>17</v>
      </c>
      <c r="E142" s="6" t="str">
        <f>$E$2</f>
        <v>SG Union Oberschöneweide</v>
      </c>
      <c r="F142" s="6" t="str">
        <f>VLOOKUP(C142,Einzelwertung!V$5:W$49,2,0)</f>
        <v>Kegel- und Bowlingcenter Oldenburg i. H.</v>
      </c>
    </row>
    <row r="143" spans="1:6" ht="12.75" customHeight="1" x14ac:dyDescent="0.2">
      <c r="A143" s="69">
        <f>A142+1</f>
        <v>104</v>
      </c>
      <c r="B143" s="70">
        <f t="shared" ref="B143:B147" si="22">B142</f>
        <v>45234</v>
      </c>
      <c r="C143" s="6" t="str">
        <f>$E$9</f>
        <v>SVL Seedorf von 1919</v>
      </c>
      <c r="D143" s="69" t="s">
        <v>17</v>
      </c>
      <c r="E143" s="6" t="str">
        <f>$E$3</f>
        <v>Hertha BSC</v>
      </c>
      <c r="F143" s="6" t="str">
        <f>VLOOKUP(C143,Einzelwertung!V$5:W$49,2,0)</f>
        <v>Kegelbahn SVL Seedorf</v>
      </c>
    </row>
    <row r="144" spans="1:6" ht="12.75" customHeight="1" x14ac:dyDescent="0.2">
      <c r="A144" s="69">
        <f t="shared" ref="A144:A147" si="23">A143+1</f>
        <v>105</v>
      </c>
      <c r="B144" s="70">
        <f t="shared" si="22"/>
        <v>45234</v>
      </c>
      <c r="C144" s="6" t="str">
        <f>$E$12</f>
        <v>SG Sportkegler Kiel I</v>
      </c>
      <c r="D144" s="69" t="s">
        <v>17</v>
      </c>
      <c r="E144" s="6" t="str">
        <f>$E$4</f>
        <v>KSG Cuxhaven / Stade</v>
      </c>
      <c r="F144" s="6" t="str">
        <f>VLOOKUP(C144,Einzelwertung!V$5:W$49,2,0)</f>
        <v>ETV – Vereinsheim Kiel</v>
      </c>
    </row>
    <row r="145" spans="1:6" ht="12.75" customHeight="1" x14ac:dyDescent="0.2">
      <c r="A145" s="69">
        <f t="shared" si="23"/>
        <v>106</v>
      </c>
      <c r="B145" s="70">
        <f t="shared" si="22"/>
        <v>45234</v>
      </c>
      <c r="C145" s="6" t="str">
        <f>$E$13</f>
        <v>SG Sportkegler Kiel II</v>
      </c>
      <c r="D145" s="69" t="s">
        <v>17</v>
      </c>
      <c r="E145" s="6" t="str">
        <f>$E$5</f>
        <v>KSK Rivalen Hannover</v>
      </c>
      <c r="F145" s="6" t="str">
        <f>VLOOKUP(C145,Einzelwertung!V$5:W$49,2,0)</f>
        <v>Haus des Sports Kiel</v>
      </c>
    </row>
    <row r="146" spans="1:6" ht="12.75" customHeight="1" x14ac:dyDescent="0.2">
      <c r="A146" s="69">
        <f t="shared" si="23"/>
        <v>107</v>
      </c>
      <c r="B146" s="70">
        <f t="shared" si="22"/>
        <v>45234</v>
      </c>
      <c r="C146" s="6" t="str">
        <f>$E$6</f>
        <v>KV Hansa Stralsund</v>
      </c>
      <c r="D146" s="69" t="s">
        <v>17</v>
      </c>
      <c r="E146" s="6" t="str">
        <f>$E$10</f>
        <v>NKC 72 Berlin</v>
      </c>
      <c r="F146" s="6" t="str">
        <f>VLOOKUP(C146,Einzelwertung!V$5:W$49,2,0)</f>
        <v>Bundeskegelbahn Stralsund</v>
      </c>
    </row>
    <row r="147" spans="1:6" ht="12.75" customHeight="1" x14ac:dyDescent="0.2">
      <c r="A147" s="69">
        <f t="shared" si="23"/>
        <v>108</v>
      </c>
      <c r="B147" s="70">
        <f t="shared" si="22"/>
        <v>45234</v>
      </c>
      <c r="C147" s="6" t="str">
        <f>$E$7</f>
        <v>SV 90 Fehrbellin</v>
      </c>
      <c r="D147" s="69" t="s">
        <v>17</v>
      </c>
      <c r="E147" s="6" t="str">
        <f>$E$11</f>
        <v>Spandauer SV</v>
      </c>
      <c r="F147" s="6" t="str">
        <f>VLOOKUP(C147,Einzelwertung!V$5:W$49,2,0)</f>
        <v>Kegelsportstätte SV 90 Fehrbellin</v>
      </c>
    </row>
    <row r="148" spans="1:6" ht="12.75" customHeight="1" x14ac:dyDescent="0.2">
      <c r="A148" s="69"/>
      <c r="B148" s="70"/>
      <c r="C148" s="6"/>
      <c r="D148" s="69"/>
      <c r="E148" s="6"/>
      <c r="F148" s="6"/>
    </row>
    <row r="149" spans="1:6" ht="12.75" customHeight="1" x14ac:dyDescent="0.2">
      <c r="A149" s="69">
        <f>A147+1</f>
        <v>109</v>
      </c>
      <c r="B149" s="70">
        <f>B142+1</f>
        <v>45235</v>
      </c>
      <c r="C149" s="6" t="str">
        <f>$E$8</f>
        <v>KSK Oldenburg / Holstein</v>
      </c>
      <c r="D149" s="69" t="s">
        <v>17</v>
      </c>
      <c r="E149" s="6" t="str">
        <f>$E$3</f>
        <v>Hertha BSC</v>
      </c>
      <c r="F149" s="6" t="str">
        <f>VLOOKUP(C149,Einzelwertung!V$5:W$49,2,0)</f>
        <v>Kegel- und Bowlingcenter Oldenburg i. H.</v>
      </c>
    </row>
    <row r="150" spans="1:6" ht="12.75" customHeight="1" x14ac:dyDescent="0.2">
      <c r="A150" s="69">
        <f>A149+1</f>
        <v>110</v>
      </c>
      <c r="B150" s="70">
        <f t="shared" ref="B150:B154" si="24">B149</f>
        <v>45235</v>
      </c>
      <c r="C150" s="6" t="str">
        <f>$E$9</f>
        <v>SVL Seedorf von 1919</v>
      </c>
      <c r="D150" s="69" t="s">
        <v>17</v>
      </c>
      <c r="E150" s="6" t="str">
        <f>$E$2</f>
        <v>SG Union Oberschöneweide</v>
      </c>
      <c r="F150" s="6" t="str">
        <f>VLOOKUP(C150,Einzelwertung!V$5:W$49,2,0)</f>
        <v>Kegelbahn SVL Seedorf</v>
      </c>
    </row>
    <row r="151" spans="1:6" ht="12.75" customHeight="1" x14ac:dyDescent="0.2">
      <c r="A151" s="69">
        <f t="shared" ref="A151:A154" si="25">A150+1</f>
        <v>111</v>
      </c>
      <c r="B151" s="70">
        <f t="shared" si="24"/>
        <v>45235</v>
      </c>
      <c r="C151" s="6" t="str">
        <f>$E$12</f>
        <v>SG Sportkegler Kiel I</v>
      </c>
      <c r="D151" s="69" t="s">
        <v>17</v>
      </c>
      <c r="E151" s="6" t="str">
        <f>$E$5</f>
        <v>KSK Rivalen Hannover</v>
      </c>
      <c r="F151" s="6" t="str">
        <f>VLOOKUP(C151,Einzelwertung!V$5:W$49,2,0)</f>
        <v>ETV – Vereinsheim Kiel</v>
      </c>
    </row>
    <row r="152" spans="1:6" ht="12.75" customHeight="1" x14ac:dyDescent="0.2">
      <c r="A152" s="69">
        <f t="shared" si="25"/>
        <v>112</v>
      </c>
      <c r="B152" s="70">
        <f t="shared" si="24"/>
        <v>45235</v>
      </c>
      <c r="C152" s="6" t="str">
        <f>$E$13</f>
        <v>SG Sportkegler Kiel II</v>
      </c>
      <c r="D152" s="69" t="s">
        <v>17</v>
      </c>
      <c r="E152" s="6" t="str">
        <f>$E$4</f>
        <v>KSG Cuxhaven / Stade</v>
      </c>
      <c r="F152" s="6" t="str">
        <f>VLOOKUP(C152,Einzelwertung!V$5:W$49,2,0)</f>
        <v>Haus des Sports Kiel</v>
      </c>
    </row>
    <row r="153" spans="1:6" ht="12.75" customHeight="1" x14ac:dyDescent="0.2">
      <c r="A153" s="69">
        <f t="shared" si="25"/>
        <v>113</v>
      </c>
      <c r="B153" s="70">
        <f t="shared" si="24"/>
        <v>45235</v>
      </c>
      <c r="C153" s="6" t="str">
        <f>$E$6</f>
        <v>KV Hansa Stralsund</v>
      </c>
      <c r="D153" s="69" t="s">
        <v>17</v>
      </c>
      <c r="E153" s="6" t="str">
        <f>$E$11</f>
        <v>Spandauer SV</v>
      </c>
      <c r="F153" s="6" t="str">
        <f>VLOOKUP(C153,Einzelwertung!V$5:W$49,2,0)</f>
        <v>Bundeskegelbahn Stralsund</v>
      </c>
    </row>
    <row r="154" spans="1:6" ht="12.75" customHeight="1" x14ac:dyDescent="0.2">
      <c r="A154" s="69">
        <f t="shared" si="25"/>
        <v>114</v>
      </c>
      <c r="B154" s="70">
        <f t="shared" si="24"/>
        <v>45235</v>
      </c>
      <c r="C154" s="6" t="str">
        <f>$E$7</f>
        <v>SV 90 Fehrbellin</v>
      </c>
      <c r="D154" s="69" t="s">
        <v>17</v>
      </c>
      <c r="E154" s="6" t="str">
        <f>$E$10</f>
        <v>NKC 72 Berlin</v>
      </c>
      <c r="F154" s="6" t="str">
        <f>VLOOKUP(C154,Einzelwertung!V$5:W$49,2,0)</f>
        <v>Kegelsportstätte SV 90 Fehrbellin</v>
      </c>
    </row>
    <row r="155" spans="1:6" ht="12.75" customHeight="1" x14ac:dyDescent="0.2">
      <c r="F155" s="6"/>
    </row>
    <row r="156" spans="1:6" ht="12.75" customHeight="1" x14ac:dyDescent="0.2">
      <c r="A156" s="69">
        <f>A154+1</f>
        <v>115</v>
      </c>
      <c r="B156" s="70">
        <v>45255</v>
      </c>
      <c r="C156" s="6" t="str">
        <f>$E$4</f>
        <v>KSG Cuxhaven / Stade</v>
      </c>
      <c r="D156" s="69" t="s">
        <v>17</v>
      </c>
      <c r="E156" s="6" t="str">
        <f>$E$2</f>
        <v>SG Union Oberschöneweide</v>
      </c>
      <c r="F156" s="6" t="str">
        <f>VLOOKUP(C156,Einzelwertung!V$5:W$49,2,0)</f>
        <v>Kegelzentrum Cuxhaven</v>
      </c>
    </row>
    <row r="157" spans="1:6" ht="12.75" customHeight="1" x14ac:dyDescent="0.2">
      <c r="A157" s="69">
        <f>A156+1</f>
        <v>116</v>
      </c>
      <c r="B157" s="70">
        <f t="shared" ref="B157:B161" si="26">B156</f>
        <v>45255</v>
      </c>
      <c r="C157" s="6" t="str">
        <f>$E$5</f>
        <v>KSK Rivalen Hannover</v>
      </c>
      <c r="D157" s="69" t="s">
        <v>17</v>
      </c>
      <c r="E157" s="6" t="str">
        <f>$E$3</f>
        <v>Hertha BSC</v>
      </c>
      <c r="F157" s="6" t="str">
        <f>VLOOKUP(C157,Einzelwertung!V$5:W$49,2,0)</f>
        <v>Kegelcenter &amp; Sportsbar Hannover</v>
      </c>
    </row>
    <row r="158" spans="1:6" ht="12.75" customHeight="1" x14ac:dyDescent="0.2">
      <c r="A158" s="69">
        <f t="shared" ref="A158:A161" si="27">A157+1</f>
        <v>117</v>
      </c>
      <c r="B158" s="70">
        <f t="shared" si="26"/>
        <v>45255</v>
      </c>
      <c r="C158" s="6" t="str">
        <f>$E$8</f>
        <v>KSK Oldenburg / Holstein</v>
      </c>
      <c r="D158" s="69" t="s">
        <v>17</v>
      </c>
      <c r="E158" s="6" t="str">
        <f>$E$6</f>
        <v>KV Hansa Stralsund</v>
      </c>
      <c r="F158" s="6" t="str">
        <f>VLOOKUP(C158,Einzelwertung!V$5:W$49,2,0)</f>
        <v>Kegel- und Bowlingcenter Oldenburg i. H.</v>
      </c>
    </row>
    <row r="159" spans="1:6" ht="12.75" customHeight="1" x14ac:dyDescent="0.2">
      <c r="A159" s="69">
        <f t="shared" si="27"/>
        <v>118</v>
      </c>
      <c r="B159" s="70">
        <f t="shared" si="26"/>
        <v>45255</v>
      </c>
      <c r="C159" s="6" t="str">
        <f>$E$9</f>
        <v>SVL Seedorf von 1919</v>
      </c>
      <c r="D159" s="69" t="s">
        <v>17</v>
      </c>
      <c r="E159" s="6" t="str">
        <f>$E$7</f>
        <v>SV 90 Fehrbellin</v>
      </c>
      <c r="F159" s="6" t="str">
        <f>VLOOKUP(C159,Einzelwertung!V$5:W$49,2,0)</f>
        <v>Kegelbahn SVL Seedorf</v>
      </c>
    </row>
    <row r="160" spans="1:6" ht="12.75" customHeight="1" x14ac:dyDescent="0.2">
      <c r="A160" s="69">
        <f t="shared" si="27"/>
        <v>119</v>
      </c>
      <c r="B160" s="70">
        <f t="shared" si="26"/>
        <v>45255</v>
      </c>
      <c r="C160" s="6" t="str">
        <f>$E$12</f>
        <v>SG Sportkegler Kiel I</v>
      </c>
      <c r="D160" s="69" t="s">
        <v>17</v>
      </c>
      <c r="E160" s="6" t="str">
        <f>$E$10</f>
        <v>NKC 72 Berlin</v>
      </c>
      <c r="F160" s="6" t="str">
        <f>VLOOKUP(C160,Einzelwertung!V$5:W$49,2,0)</f>
        <v>ETV – Vereinsheim Kiel</v>
      </c>
    </row>
    <row r="161" spans="1:6" ht="12.75" customHeight="1" x14ac:dyDescent="0.2">
      <c r="A161" s="69">
        <f t="shared" si="27"/>
        <v>120</v>
      </c>
      <c r="B161" s="70">
        <f t="shared" si="26"/>
        <v>45255</v>
      </c>
      <c r="C161" s="6" t="str">
        <f>$E$13</f>
        <v>SG Sportkegler Kiel II</v>
      </c>
      <c r="D161" s="69" t="s">
        <v>17</v>
      </c>
      <c r="E161" s="6" t="str">
        <f>$E$11</f>
        <v>Spandauer SV</v>
      </c>
      <c r="F161" s="6" t="str">
        <f>VLOOKUP(C161,Einzelwertung!V$5:W$49,2,0)</f>
        <v>Haus des Sports Kiel</v>
      </c>
    </row>
    <row r="162" spans="1:6" ht="12.75" customHeight="1" x14ac:dyDescent="0.2">
      <c r="A162" s="69"/>
      <c r="B162" s="70"/>
      <c r="C162" s="6"/>
      <c r="D162" s="69"/>
      <c r="E162" s="6"/>
      <c r="F162" s="6"/>
    </row>
    <row r="163" spans="1:6" ht="12.75" customHeight="1" x14ac:dyDescent="0.2">
      <c r="A163" s="69">
        <f>A161+1</f>
        <v>121</v>
      </c>
      <c r="B163" s="70">
        <f>B156+1</f>
        <v>45256</v>
      </c>
      <c r="C163" s="6" t="str">
        <f>$E$4</f>
        <v>KSG Cuxhaven / Stade</v>
      </c>
      <c r="D163" s="69" t="s">
        <v>17</v>
      </c>
      <c r="E163" s="6" t="str">
        <f>$E$3</f>
        <v>Hertha BSC</v>
      </c>
      <c r="F163" s="6" t="str">
        <f>VLOOKUP(C163,Einzelwertung!V$5:W$49,2,0)</f>
        <v>Kegelzentrum Cuxhaven</v>
      </c>
    </row>
    <row r="164" spans="1:6" ht="12.75" customHeight="1" x14ac:dyDescent="0.2">
      <c r="A164" s="69">
        <f>A163+1</f>
        <v>122</v>
      </c>
      <c r="B164" s="70">
        <f t="shared" ref="B164:B168" si="28">B163</f>
        <v>45256</v>
      </c>
      <c r="C164" s="6" t="str">
        <f>$E$5</f>
        <v>KSK Rivalen Hannover</v>
      </c>
      <c r="D164" s="69" t="s">
        <v>17</v>
      </c>
      <c r="E164" s="6" t="str">
        <f>$E$2</f>
        <v>SG Union Oberschöneweide</v>
      </c>
      <c r="F164" s="6" t="str">
        <f>VLOOKUP(C164,Einzelwertung!V$5:W$49,2,0)</f>
        <v>Kegelcenter &amp; Sportsbar Hannover</v>
      </c>
    </row>
    <row r="165" spans="1:6" ht="12.75" customHeight="1" x14ac:dyDescent="0.2">
      <c r="A165" s="69">
        <f t="shared" ref="A165:A168" si="29">A164+1</f>
        <v>123</v>
      </c>
      <c r="B165" s="70">
        <f t="shared" si="28"/>
        <v>45256</v>
      </c>
      <c r="C165" s="6" t="str">
        <f>$E$8</f>
        <v>KSK Oldenburg / Holstein</v>
      </c>
      <c r="D165" s="69" t="s">
        <v>17</v>
      </c>
      <c r="E165" s="6" t="str">
        <f>$E$7</f>
        <v>SV 90 Fehrbellin</v>
      </c>
      <c r="F165" s="6" t="str">
        <f>VLOOKUP(C165,Einzelwertung!V$5:W$49,2,0)</f>
        <v>Kegel- und Bowlingcenter Oldenburg i. H.</v>
      </c>
    </row>
    <row r="166" spans="1:6" ht="12.75" customHeight="1" x14ac:dyDescent="0.2">
      <c r="A166" s="69">
        <f t="shared" si="29"/>
        <v>124</v>
      </c>
      <c r="B166" s="70">
        <f t="shared" si="28"/>
        <v>45256</v>
      </c>
      <c r="C166" s="6" t="str">
        <f>$E$9</f>
        <v>SVL Seedorf von 1919</v>
      </c>
      <c r="D166" s="69" t="s">
        <v>17</v>
      </c>
      <c r="E166" s="6" t="str">
        <f>$E$6</f>
        <v>KV Hansa Stralsund</v>
      </c>
      <c r="F166" s="6" t="str">
        <f>VLOOKUP(C166,Einzelwertung!V$5:W$49,2,0)</f>
        <v>Kegelbahn SVL Seedorf</v>
      </c>
    </row>
    <row r="167" spans="1:6" ht="12.75" customHeight="1" x14ac:dyDescent="0.2">
      <c r="A167" s="69">
        <f t="shared" si="29"/>
        <v>125</v>
      </c>
      <c r="B167" s="70">
        <f t="shared" si="28"/>
        <v>45256</v>
      </c>
      <c r="C167" s="6" t="str">
        <f>$E$12</f>
        <v>SG Sportkegler Kiel I</v>
      </c>
      <c r="D167" s="69" t="s">
        <v>17</v>
      </c>
      <c r="E167" s="6" t="str">
        <f>$E$11</f>
        <v>Spandauer SV</v>
      </c>
      <c r="F167" s="6" t="str">
        <f>VLOOKUP(C167,Einzelwertung!V$5:W$49,2,0)</f>
        <v>ETV – Vereinsheim Kiel</v>
      </c>
    </row>
    <row r="168" spans="1:6" ht="12.75" customHeight="1" x14ac:dyDescent="0.2">
      <c r="A168" s="69">
        <f t="shared" si="29"/>
        <v>126</v>
      </c>
      <c r="B168" s="70">
        <f t="shared" si="28"/>
        <v>45256</v>
      </c>
      <c r="C168" s="6" t="str">
        <f>$E$13</f>
        <v>SG Sportkegler Kiel II</v>
      </c>
      <c r="D168" s="69" t="s">
        <v>17</v>
      </c>
      <c r="E168" s="6" t="str">
        <f>$E$10</f>
        <v>NKC 72 Berlin</v>
      </c>
      <c r="F168" s="6" t="str">
        <f>VLOOKUP(C168,Einzelwertung!V$5:W$49,2,0)</f>
        <v>Haus des Sports Kiel</v>
      </c>
    </row>
    <row r="169" spans="1:6" ht="12.75" customHeight="1" x14ac:dyDescent="0.2">
      <c r="A169" s="69"/>
      <c r="B169" s="70"/>
      <c r="C169" s="6"/>
      <c r="D169" s="69"/>
      <c r="E169" s="6"/>
      <c r="F169" s="6"/>
    </row>
    <row r="170" spans="1:6" ht="12.75" customHeight="1" x14ac:dyDescent="0.2">
      <c r="A170" s="69">
        <f>A168+1</f>
        <v>127</v>
      </c>
      <c r="B170" s="70">
        <v>45269</v>
      </c>
      <c r="C170" s="6" t="str">
        <f>$E$2</f>
        <v>SG Union Oberschöneweide</v>
      </c>
      <c r="D170" s="69" t="s">
        <v>17</v>
      </c>
      <c r="E170" s="6" t="str">
        <f>$E$3</f>
        <v>Hertha BSC</v>
      </c>
      <c r="F170" s="6" t="str">
        <f>VLOOKUP(C170,Einzelwertung!V$5:W$49,2,0)</f>
        <v>KSZ Hämmerlingstraße Berlin</v>
      </c>
    </row>
    <row r="171" spans="1:6" ht="12.75" customHeight="1" x14ac:dyDescent="0.2">
      <c r="A171" s="69">
        <f>A170+1</f>
        <v>128</v>
      </c>
      <c r="B171" s="70">
        <f t="shared" ref="B171:B175" si="30">B170</f>
        <v>45269</v>
      </c>
      <c r="C171" s="6" t="str">
        <f>$E$4</f>
        <v>KSG Cuxhaven / Stade</v>
      </c>
      <c r="D171" s="69" t="s">
        <v>17</v>
      </c>
      <c r="E171" s="6" t="str">
        <f>$E$5</f>
        <v>KSK Rivalen Hannover</v>
      </c>
      <c r="F171" s="6" t="str">
        <f>VLOOKUP(C171,Einzelwertung!V$5:W$49,2,0)</f>
        <v>Kegelzentrum Cuxhaven</v>
      </c>
    </row>
    <row r="172" spans="1:6" ht="12.75" customHeight="1" x14ac:dyDescent="0.2">
      <c r="A172" s="69">
        <f t="shared" ref="A172:A175" si="31">A171+1</f>
        <v>129</v>
      </c>
      <c r="B172" s="70">
        <f t="shared" si="30"/>
        <v>45269</v>
      </c>
      <c r="C172" s="6" t="str">
        <f>$E$6</f>
        <v>KV Hansa Stralsund</v>
      </c>
      <c r="D172" s="69" t="s">
        <v>17</v>
      </c>
      <c r="E172" s="6" t="str">
        <f>$E$7</f>
        <v>SV 90 Fehrbellin</v>
      </c>
      <c r="F172" s="6" t="str">
        <f>VLOOKUP(C172,Einzelwertung!V$5:W$49,2,0)</f>
        <v>Bundeskegelbahn Stralsund</v>
      </c>
    </row>
    <row r="173" spans="1:6" ht="12.75" customHeight="1" x14ac:dyDescent="0.2">
      <c r="A173" s="69">
        <f t="shared" si="31"/>
        <v>130</v>
      </c>
      <c r="B173" s="70">
        <f t="shared" si="30"/>
        <v>45269</v>
      </c>
      <c r="C173" s="6" t="str">
        <f>$E$8</f>
        <v>KSK Oldenburg / Holstein</v>
      </c>
      <c r="D173" s="69" t="s">
        <v>17</v>
      </c>
      <c r="E173" s="6" t="str">
        <f>$E$9</f>
        <v>SVL Seedorf von 1919</v>
      </c>
      <c r="F173" s="6" t="str">
        <f>VLOOKUP(C173,Einzelwertung!V$5:W$49,2,0)</f>
        <v>Kegel- und Bowlingcenter Oldenburg i. H.</v>
      </c>
    </row>
    <row r="174" spans="1:6" ht="12.75" customHeight="1" x14ac:dyDescent="0.2">
      <c r="A174" s="69">
        <f t="shared" si="31"/>
        <v>131</v>
      </c>
      <c r="B174" s="70">
        <f t="shared" si="30"/>
        <v>45269</v>
      </c>
      <c r="C174" s="6" t="str">
        <f>$E$10</f>
        <v>NKC 72 Berlin</v>
      </c>
      <c r="D174" s="69" t="s">
        <v>17</v>
      </c>
      <c r="E174" s="6" t="str">
        <f>$E$11</f>
        <v>Spandauer SV</v>
      </c>
      <c r="F174" s="6" t="str">
        <f>VLOOKUP(C174,Einzelwertung!V$5:W$49,2,0)</f>
        <v>Willi-Sänger-Stadion Berlin</v>
      </c>
    </row>
    <row r="175" spans="1:6" ht="12.75" customHeight="1" x14ac:dyDescent="0.2">
      <c r="A175" s="69">
        <f t="shared" si="31"/>
        <v>132</v>
      </c>
      <c r="B175" s="70">
        <f t="shared" si="30"/>
        <v>45269</v>
      </c>
      <c r="C175" s="6" t="str">
        <f>$E$12</f>
        <v>SG Sportkegler Kiel I</v>
      </c>
      <c r="D175" s="69" t="s">
        <v>17</v>
      </c>
      <c r="E175" s="6" t="str">
        <f>$E$13</f>
        <v>SG Sportkegler Kiel II</v>
      </c>
      <c r="F175" s="6" t="str">
        <f>VLOOKUP(C175,Einzelwertung!V$5:W$49,2,0)</f>
        <v>ETV – Vereinsheim Kiel</v>
      </c>
    </row>
    <row r="176" spans="1:6" ht="12.75" customHeight="1" x14ac:dyDescent="0.2">
      <c r="A176" s="69"/>
      <c r="B176" s="70"/>
      <c r="C176" s="6"/>
      <c r="D176" s="69"/>
      <c r="E176" s="6"/>
      <c r="F176" s="6"/>
    </row>
    <row r="177" spans="1:6" ht="12.75" customHeight="1" x14ac:dyDescent="0.2">
      <c r="A177" s="69">
        <f>A175+1</f>
        <v>133</v>
      </c>
      <c r="B177" s="70">
        <f>B170+1</f>
        <v>45270</v>
      </c>
      <c r="C177" s="6" t="str">
        <f>$E$3</f>
        <v>Hertha BSC</v>
      </c>
      <c r="D177" s="69" t="s">
        <v>17</v>
      </c>
      <c r="E177" s="6" t="str">
        <f>$E$2</f>
        <v>SG Union Oberschöneweide</v>
      </c>
      <c r="F177" s="6" t="str">
        <f>VLOOKUP(C177,Einzelwertung!V$5:W$49,2,0)</f>
        <v>Kegelcenter Lok Schöneweide Berlin</v>
      </c>
    </row>
    <row r="178" spans="1:6" ht="12.75" customHeight="1" x14ac:dyDescent="0.2">
      <c r="A178" s="69">
        <f>A177+1</f>
        <v>134</v>
      </c>
      <c r="B178" s="70">
        <f t="shared" ref="B178:B182" si="32">B177</f>
        <v>45270</v>
      </c>
      <c r="C178" s="6" t="str">
        <f>$E$5</f>
        <v>KSK Rivalen Hannover</v>
      </c>
      <c r="D178" s="69" t="s">
        <v>17</v>
      </c>
      <c r="E178" s="6" t="str">
        <f>$E$4</f>
        <v>KSG Cuxhaven / Stade</v>
      </c>
      <c r="F178" s="6" t="str">
        <f>VLOOKUP(C178,Einzelwertung!V$5:W$49,2,0)</f>
        <v>Kegelcenter &amp; Sportsbar Hannover</v>
      </c>
    </row>
    <row r="179" spans="1:6" ht="12.75" customHeight="1" x14ac:dyDescent="0.2">
      <c r="A179" s="69">
        <f t="shared" ref="A179:A182" si="33">A178+1</f>
        <v>135</v>
      </c>
      <c r="B179" s="70">
        <f t="shared" si="32"/>
        <v>45270</v>
      </c>
      <c r="C179" s="6" t="str">
        <f>$E$7</f>
        <v>SV 90 Fehrbellin</v>
      </c>
      <c r="D179" s="69" t="s">
        <v>17</v>
      </c>
      <c r="E179" s="6" t="str">
        <f>$E$6</f>
        <v>KV Hansa Stralsund</v>
      </c>
      <c r="F179" s="6" t="str">
        <f>VLOOKUP(C179,Einzelwertung!V$5:W$49,2,0)</f>
        <v>Kegelsportstätte SV 90 Fehrbellin</v>
      </c>
    </row>
    <row r="180" spans="1:6" ht="12.75" customHeight="1" x14ac:dyDescent="0.2">
      <c r="A180" s="69">
        <f t="shared" si="33"/>
        <v>136</v>
      </c>
      <c r="B180" s="70">
        <f t="shared" si="32"/>
        <v>45270</v>
      </c>
      <c r="C180" s="6" t="str">
        <f>$E$9</f>
        <v>SVL Seedorf von 1919</v>
      </c>
      <c r="D180" s="69" t="s">
        <v>17</v>
      </c>
      <c r="E180" s="6" t="str">
        <f>$E$8</f>
        <v>KSK Oldenburg / Holstein</v>
      </c>
      <c r="F180" s="6" t="str">
        <f>VLOOKUP(C180,Einzelwertung!V$5:W$49,2,0)</f>
        <v>Kegelbahn SVL Seedorf</v>
      </c>
    </row>
    <row r="181" spans="1:6" ht="12.75" customHeight="1" x14ac:dyDescent="0.2">
      <c r="A181" s="69">
        <f t="shared" si="33"/>
        <v>137</v>
      </c>
      <c r="B181" s="70">
        <f t="shared" si="32"/>
        <v>45270</v>
      </c>
      <c r="C181" s="6" t="str">
        <f>$E$11</f>
        <v>Spandauer SV</v>
      </c>
      <c r="D181" s="69" t="s">
        <v>17</v>
      </c>
      <c r="E181" s="6" t="str">
        <f>$E$10</f>
        <v>NKC 72 Berlin</v>
      </c>
      <c r="F181" s="6" t="str">
        <f>VLOOKUP(C181,Einzelwertung!V$5:W$49,2,0)</f>
        <v>Robert von Siemens Sporthalle Berlin</v>
      </c>
    </row>
    <row r="182" spans="1:6" ht="12.75" customHeight="1" x14ac:dyDescent="0.2">
      <c r="A182" s="69">
        <f t="shared" si="33"/>
        <v>138</v>
      </c>
      <c r="B182" s="70">
        <f t="shared" si="32"/>
        <v>45270</v>
      </c>
      <c r="C182" s="6" t="str">
        <f>$E$13</f>
        <v>SG Sportkegler Kiel II</v>
      </c>
      <c r="D182" s="69" t="s">
        <v>17</v>
      </c>
      <c r="E182" s="6" t="str">
        <f>$E$12</f>
        <v>SG Sportkegler Kiel I</v>
      </c>
      <c r="F182" s="6" t="str">
        <f>VLOOKUP(C182,Einzelwertung!V$5:W$49,2,0)</f>
        <v>Haus des Sports Kiel</v>
      </c>
    </row>
    <row r="183" spans="1:6" ht="12.75" customHeight="1" x14ac:dyDescent="0.2">
      <c r="A183" s="69"/>
      <c r="B183" s="70"/>
      <c r="C183" s="6"/>
      <c r="D183" s="69"/>
      <c r="E183" s="6"/>
      <c r="F183" s="6" t="str">
        <f>IF(ISERROR(VLOOKUP(C183,#REF!,2,0)),"",VLOOKUP(C183,#REF!,2,0))</f>
        <v/>
      </c>
    </row>
    <row r="184" spans="1:6" ht="12.75" customHeight="1" x14ac:dyDescent="0.2">
      <c r="A184" s="69">
        <f>A182+1</f>
        <v>139</v>
      </c>
      <c r="B184" s="70">
        <v>45297</v>
      </c>
      <c r="C184" s="6" t="str">
        <f>$E$2</f>
        <v>SG Union Oberschöneweide</v>
      </c>
      <c r="D184" s="69" t="s">
        <v>17</v>
      </c>
      <c r="E184" s="6" t="str">
        <f>$E$4</f>
        <v>KSG Cuxhaven / Stade</v>
      </c>
      <c r="F184" s="6" t="str">
        <f>VLOOKUP(C184,Einzelwertung!V$5:W$49,2,0)</f>
        <v>KSZ Hämmerlingstraße Berlin</v>
      </c>
    </row>
    <row r="185" spans="1:6" ht="12.75" customHeight="1" x14ac:dyDescent="0.2">
      <c r="A185" s="69">
        <f>A184+1</f>
        <v>140</v>
      </c>
      <c r="B185" s="70">
        <f t="shared" ref="B185:B189" si="34">B184</f>
        <v>45297</v>
      </c>
      <c r="C185" s="6" t="str">
        <f>$E$3</f>
        <v>Hertha BSC</v>
      </c>
      <c r="D185" s="69" t="s">
        <v>17</v>
      </c>
      <c r="E185" s="6" t="str">
        <f>$E$5</f>
        <v>KSK Rivalen Hannover</v>
      </c>
      <c r="F185" s="6" t="str">
        <f>VLOOKUP(C185,Einzelwertung!V$5:W$49,2,0)</f>
        <v>Kegelcenter Lok Schöneweide Berlin</v>
      </c>
    </row>
    <row r="186" spans="1:6" ht="12.75" customHeight="1" x14ac:dyDescent="0.2">
      <c r="A186" s="69">
        <f t="shared" ref="A186:A189" si="35">A185+1</f>
        <v>141</v>
      </c>
      <c r="B186" s="70">
        <f t="shared" si="34"/>
        <v>45297</v>
      </c>
      <c r="C186" s="6" t="str">
        <f>$E$6</f>
        <v>KV Hansa Stralsund</v>
      </c>
      <c r="D186" s="69" t="s">
        <v>17</v>
      </c>
      <c r="E186" s="6" t="str">
        <f>$E$8</f>
        <v>KSK Oldenburg / Holstein</v>
      </c>
      <c r="F186" s="6" t="str">
        <f>VLOOKUP(C186,Einzelwertung!V$5:W$49,2,0)</f>
        <v>Bundeskegelbahn Stralsund</v>
      </c>
    </row>
    <row r="187" spans="1:6" ht="12.75" customHeight="1" x14ac:dyDescent="0.2">
      <c r="A187" s="69">
        <f t="shared" si="35"/>
        <v>142</v>
      </c>
      <c r="B187" s="70">
        <f t="shared" si="34"/>
        <v>45297</v>
      </c>
      <c r="C187" s="6" t="str">
        <f>$E$7</f>
        <v>SV 90 Fehrbellin</v>
      </c>
      <c r="D187" s="69" t="s">
        <v>17</v>
      </c>
      <c r="E187" s="6" t="str">
        <f>$E$9</f>
        <v>SVL Seedorf von 1919</v>
      </c>
      <c r="F187" s="6" t="str">
        <f>VLOOKUP(C187,Einzelwertung!V$5:W$49,2,0)</f>
        <v>Kegelsportstätte SV 90 Fehrbellin</v>
      </c>
    </row>
    <row r="188" spans="1:6" ht="12.75" customHeight="1" x14ac:dyDescent="0.2">
      <c r="A188" s="69">
        <f t="shared" si="35"/>
        <v>143</v>
      </c>
      <c r="B188" s="70">
        <f t="shared" si="34"/>
        <v>45297</v>
      </c>
      <c r="C188" s="6" t="str">
        <f>$E$10</f>
        <v>NKC 72 Berlin</v>
      </c>
      <c r="D188" s="69" t="s">
        <v>17</v>
      </c>
      <c r="E188" s="6" t="str">
        <f>$E$12</f>
        <v>SG Sportkegler Kiel I</v>
      </c>
      <c r="F188" s="6" t="str">
        <f>VLOOKUP(C188,Einzelwertung!V$5:W$49,2,0)</f>
        <v>Willi-Sänger-Stadion Berlin</v>
      </c>
    </row>
    <row r="189" spans="1:6" ht="12.75" customHeight="1" x14ac:dyDescent="0.2">
      <c r="A189" s="69">
        <f t="shared" si="35"/>
        <v>144</v>
      </c>
      <c r="B189" s="70">
        <f t="shared" si="34"/>
        <v>45297</v>
      </c>
      <c r="C189" s="6" t="str">
        <f>$E$11</f>
        <v>Spandauer SV</v>
      </c>
      <c r="D189" s="69" t="s">
        <v>17</v>
      </c>
      <c r="E189" s="6" t="str">
        <f>$E$13</f>
        <v>SG Sportkegler Kiel II</v>
      </c>
      <c r="F189" s="6" t="str">
        <f>VLOOKUP(C189,Einzelwertung!V$5:W$49,2,0)</f>
        <v>Robert von Siemens Sporthalle Berlin</v>
      </c>
    </row>
    <row r="190" spans="1:6" ht="12.75" customHeight="1" x14ac:dyDescent="0.2">
      <c r="A190" s="69"/>
      <c r="B190" s="70"/>
      <c r="C190" s="6"/>
      <c r="D190" s="69"/>
      <c r="E190" s="6"/>
      <c r="F190" s="6" t="str">
        <f>IF(ISERROR(VLOOKUP(C190,#REF!,2,0)),"",VLOOKUP(C190,#REF!,2,0))</f>
        <v/>
      </c>
    </row>
    <row r="191" spans="1:6" ht="12.75" customHeight="1" x14ac:dyDescent="0.2">
      <c r="A191" s="69">
        <f>A189+1</f>
        <v>145</v>
      </c>
      <c r="B191" s="70">
        <f>B184+1</f>
        <v>45298</v>
      </c>
      <c r="C191" s="6" t="str">
        <f>$E$2</f>
        <v>SG Union Oberschöneweide</v>
      </c>
      <c r="D191" s="69" t="s">
        <v>17</v>
      </c>
      <c r="E191" s="6" t="str">
        <f>$E$5</f>
        <v>KSK Rivalen Hannover</v>
      </c>
      <c r="F191" s="6" t="str">
        <f>VLOOKUP(C191,Einzelwertung!V$5:W$49,2,0)</f>
        <v>KSZ Hämmerlingstraße Berlin</v>
      </c>
    </row>
    <row r="192" spans="1:6" ht="12.75" customHeight="1" x14ac:dyDescent="0.2">
      <c r="A192" s="69">
        <f>A191+1</f>
        <v>146</v>
      </c>
      <c r="B192" s="70">
        <f t="shared" ref="B192:B196" si="36">B191</f>
        <v>45298</v>
      </c>
      <c r="C192" s="6" t="str">
        <f>$E$3</f>
        <v>Hertha BSC</v>
      </c>
      <c r="D192" s="69" t="s">
        <v>17</v>
      </c>
      <c r="E192" s="6" t="str">
        <f>$E$4</f>
        <v>KSG Cuxhaven / Stade</v>
      </c>
      <c r="F192" s="6" t="str">
        <f>VLOOKUP(C192,Einzelwertung!V$5:W$49,2,0)</f>
        <v>Kegelcenter Lok Schöneweide Berlin</v>
      </c>
    </row>
    <row r="193" spans="1:6" ht="12.75" customHeight="1" x14ac:dyDescent="0.2">
      <c r="A193" s="69">
        <f t="shared" ref="A193:A196" si="37">A192+1</f>
        <v>147</v>
      </c>
      <c r="B193" s="70">
        <f t="shared" si="36"/>
        <v>45298</v>
      </c>
      <c r="C193" s="6" t="str">
        <f>$E$6</f>
        <v>KV Hansa Stralsund</v>
      </c>
      <c r="D193" s="69" t="s">
        <v>17</v>
      </c>
      <c r="E193" s="6" t="str">
        <f>$E$9</f>
        <v>SVL Seedorf von 1919</v>
      </c>
      <c r="F193" s="6" t="str">
        <f>VLOOKUP(C193,Einzelwertung!V$5:W$49,2,0)</f>
        <v>Bundeskegelbahn Stralsund</v>
      </c>
    </row>
    <row r="194" spans="1:6" ht="12.75" customHeight="1" x14ac:dyDescent="0.2">
      <c r="A194" s="69">
        <f t="shared" si="37"/>
        <v>148</v>
      </c>
      <c r="B194" s="70">
        <f t="shared" si="36"/>
        <v>45298</v>
      </c>
      <c r="C194" s="6" t="str">
        <f>$E$7</f>
        <v>SV 90 Fehrbellin</v>
      </c>
      <c r="D194" s="69" t="s">
        <v>17</v>
      </c>
      <c r="E194" s="6" t="str">
        <f>$E$8</f>
        <v>KSK Oldenburg / Holstein</v>
      </c>
      <c r="F194" s="6" t="str">
        <f>VLOOKUP(C194,Einzelwertung!V$5:W$49,2,0)</f>
        <v>Kegelsportstätte SV 90 Fehrbellin</v>
      </c>
    </row>
    <row r="195" spans="1:6" ht="12.75" customHeight="1" x14ac:dyDescent="0.2">
      <c r="A195" s="69">
        <f t="shared" si="37"/>
        <v>149</v>
      </c>
      <c r="B195" s="70">
        <f t="shared" si="36"/>
        <v>45298</v>
      </c>
      <c r="C195" s="6" t="str">
        <f>$E$10</f>
        <v>NKC 72 Berlin</v>
      </c>
      <c r="D195" s="69" t="s">
        <v>17</v>
      </c>
      <c r="E195" s="6" t="str">
        <f>$E$13</f>
        <v>SG Sportkegler Kiel II</v>
      </c>
      <c r="F195" s="6" t="str">
        <f>VLOOKUP(C195,Einzelwertung!V$5:W$49,2,0)</f>
        <v>Willi-Sänger-Stadion Berlin</v>
      </c>
    </row>
    <row r="196" spans="1:6" ht="12.75" customHeight="1" x14ac:dyDescent="0.2">
      <c r="A196" s="69">
        <f t="shared" si="37"/>
        <v>150</v>
      </c>
      <c r="B196" s="70">
        <f t="shared" si="36"/>
        <v>45298</v>
      </c>
      <c r="C196" s="6" t="str">
        <f>$E$11</f>
        <v>Spandauer SV</v>
      </c>
      <c r="D196" s="69" t="s">
        <v>17</v>
      </c>
      <c r="E196" s="6" t="str">
        <f>$E$12</f>
        <v>SG Sportkegler Kiel I</v>
      </c>
      <c r="F196" s="6" t="str">
        <f>VLOOKUP(C196,Einzelwertung!V$5:W$49,2,0)</f>
        <v>Robert von Siemens Sporthalle Berlin</v>
      </c>
    </row>
    <row r="197" spans="1:6" ht="12.75" customHeight="1" x14ac:dyDescent="0.2">
      <c r="A197" s="69"/>
      <c r="B197" s="70"/>
      <c r="C197" s="6"/>
      <c r="D197" s="69"/>
      <c r="E197" s="6"/>
      <c r="F197" s="6" t="str">
        <f>IF(ISERROR(VLOOKUP(C197,#REF!,2,0)),"",VLOOKUP(C197,#REF!,2,0))</f>
        <v/>
      </c>
    </row>
    <row r="198" spans="1:6" ht="12.75" customHeight="1" x14ac:dyDescent="0.2">
      <c r="A198" s="69">
        <f>A196+1</f>
        <v>151</v>
      </c>
      <c r="B198" s="70">
        <v>45311</v>
      </c>
      <c r="C198" s="6" t="str">
        <f>$E$2</f>
        <v>SG Union Oberschöneweide</v>
      </c>
      <c r="D198" s="69" t="s">
        <v>17</v>
      </c>
      <c r="E198" s="6" t="str">
        <f>$E$10</f>
        <v>NKC 72 Berlin</v>
      </c>
      <c r="F198" s="6" t="str">
        <f>VLOOKUP(C198,Einzelwertung!V$5:W$49,2,0)</f>
        <v>KSZ Hämmerlingstraße Berlin</v>
      </c>
    </row>
    <row r="199" spans="1:6" ht="12.75" customHeight="1" x14ac:dyDescent="0.2">
      <c r="A199" s="69">
        <f>A198+1</f>
        <v>152</v>
      </c>
      <c r="B199" s="70">
        <f t="shared" ref="B199:B203" si="38">B198</f>
        <v>45311</v>
      </c>
      <c r="C199" s="6" t="str">
        <f>$E$3</f>
        <v>Hertha BSC</v>
      </c>
      <c r="D199" s="69" t="s">
        <v>17</v>
      </c>
      <c r="E199" s="6" t="str">
        <f>$E$11</f>
        <v>Spandauer SV</v>
      </c>
      <c r="F199" s="6" t="str">
        <f>VLOOKUP(C199,Einzelwertung!V$5:W$49,2,0)</f>
        <v>Kegelcenter Lok Schöneweide Berlin</v>
      </c>
    </row>
    <row r="200" spans="1:6" ht="12.75" customHeight="1" x14ac:dyDescent="0.2">
      <c r="A200" s="69">
        <f t="shared" ref="A200:A203" si="39">A199+1</f>
        <v>153</v>
      </c>
      <c r="B200" s="70">
        <f t="shared" si="38"/>
        <v>45311</v>
      </c>
      <c r="C200" s="6" t="str">
        <f>$E$4</f>
        <v>KSG Cuxhaven / Stade</v>
      </c>
      <c r="D200" s="69" t="s">
        <v>17</v>
      </c>
      <c r="E200" s="6" t="str">
        <f>$E$8</f>
        <v>KSK Oldenburg / Holstein</v>
      </c>
      <c r="F200" s="6" t="str">
        <f>VLOOKUP(C200,Einzelwertung!V$5:W$49,2,0)</f>
        <v>Kegelzentrum Cuxhaven</v>
      </c>
    </row>
    <row r="201" spans="1:6" ht="12.75" customHeight="1" x14ac:dyDescent="0.2">
      <c r="A201" s="69">
        <f t="shared" si="39"/>
        <v>154</v>
      </c>
      <c r="B201" s="70">
        <f t="shared" si="38"/>
        <v>45311</v>
      </c>
      <c r="C201" s="6" t="str">
        <f>$E$5</f>
        <v>KSK Rivalen Hannover</v>
      </c>
      <c r="D201" s="69" t="s">
        <v>17</v>
      </c>
      <c r="E201" s="6" t="str">
        <f>$E$9</f>
        <v>SVL Seedorf von 1919</v>
      </c>
      <c r="F201" s="6" t="str">
        <f>VLOOKUP(C201,Einzelwertung!V$5:W$49,2,0)</f>
        <v>Kegelcenter &amp; Sportsbar Hannover</v>
      </c>
    </row>
    <row r="202" spans="1:6" ht="12.75" customHeight="1" x14ac:dyDescent="0.2">
      <c r="A202" s="69">
        <f t="shared" si="39"/>
        <v>155</v>
      </c>
      <c r="B202" s="70">
        <f t="shared" si="38"/>
        <v>45311</v>
      </c>
      <c r="C202" s="6" t="str">
        <f>$E$12</f>
        <v>SG Sportkegler Kiel I</v>
      </c>
      <c r="D202" s="69" t="s">
        <v>17</v>
      </c>
      <c r="E202" s="6" t="str">
        <f>$E$6</f>
        <v>KV Hansa Stralsund</v>
      </c>
      <c r="F202" s="6" t="str">
        <f>VLOOKUP(C202,Einzelwertung!V$5:W$49,2,0)</f>
        <v>ETV – Vereinsheim Kiel</v>
      </c>
    </row>
    <row r="203" spans="1:6" ht="12.75" customHeight="1" x14ac:dyDescent="0.2">
      <c r="A203" s="69">
        <f t="shared" si="39"/>
        <v>156</v>
      </c>
      <c r="B203" s="70">
        <f t="shared" si="38"/>
        <v>45311</v>
      </c>
      <c r="C203" s="6" t="str">
        <f>$E$13</f>
        <v>SG Sportkegler Kiel II</v>
      </c>
      <c r="D203" s="69" t="s">
        <v>17</v>
      </c>
      <c r="E203" s="6" t="str">
        <f>$E$7</f>
        <v>SV 90 Fehrbellin</v>
      </c>
      <c r="F203" s="6" t="str">
        <f>VLOOKUP(C203,Einzelwertung!V$5:W$49,2,0)</f>
        <v>Haus des Sports Kiel</v>
      </c>
    </row>
    <row r="204" spans="1:6" ht="12.75" customHeight="1" x14ac:dyDescent="0.2">
      <c r="A204" s="69"/>
      <c r="B204" s="70"/>
      <c r="C204" s="6"/>
      <c r="D204" s="69"/>
      <c r="E204" s="6"/>
      <c r="F204" s="6"/>
    </row>
    <row r="205" spans="1:6" ht="12.75" customHeight="1" x14ac:dyDescent="0.2">
      <c r="A205" s="69">
        <f>A203+1</f>
        <v>157</v>
      </c>
      <c r="B205" s="70">
        <f>B198+1</f>
        <v>45312</v>
      </c>
      <c r="C205" s="6" t="str">
        <f>$E$2</f>
        <v>SG Union Oberschöneweide</v>
      </c>
      <c r="D205" s="69" t="s">
        <v>17</v>
      </c>
      <c r="E205" s="6" t="str">
        <f>$E$11</f>
        <v>Spandauer SV</v>
      </c>
      <c r="F205" s="6" t="str">
        <f>VLOOKUP(C205,Einzelwertung!V$5:W$49,2,0)</f>
        <v>KSZ Hämmerlingstraße Berlin</v>
      </c>
    </row>
    <row r="206" spans="1:6" ht="12.75" customHeight="1" x14ac:dyDescent="0.2">
      <c r="A206" s="69">
        <f>A205+1</f>
        <v>158</v>
      </c>
      <c r="B206" s="70">
        <f t="shared" ref="B206:B210" si="40">B205</f>
        <v>45312</v>
      </c>
      <c r="C206" s="6" t="str">
        <f>$E$3</f>
        <v>Hertha BSC</v>
      </c>
      <c r="D206" s="69" t="s">
        <v>17</v>
      </c>
      <c r="E206" s="6" t="str">
        <f>$E$10</f>
        <v>NKC 72 Berlin</v>
      </c>
      <c r="F206" s="6" t="str">
        <f>VLOOKUP(C206,Einzelwertung!V$5:W$49,2,0)</f>
        <v>Kegelcenter Lok Schöneweide Berlin</v>
      </c>
    </row>
    <row r="207" spans="1:6" ht="12.75" customHeight="1" x14ac:dyDescent="0.2">
      <c r="A207" s="69">
        <f t="shared" ref="A207:A210" si="41">A206+1</f>
        <v>159</v>
      </c>
      <c r="B207" s="70">
        <f t="shared" si="40"/>
        <v>45312</v>
      </c>
      <c r="C207" s="6" t="str">
        <f>$E$4</f>
        <v>KSG Cuxhaven / Stade</v>
      </c>
      <c r="D207" s="69" t="s">
        <v>17</v>
      </c>
      <c r="E207" s="6" t="str">
        <f>$E$9</f>
        <v>SVL Seedorf von 1919</v>
      </c>
      <c r="F207" s="6" t="str">
        <f>VLOOKUP(C207,Einzelwertung!V$5:W$49,2,0)</f>
        <v>Kegelzentrum Cuxhaven</v>
      </c>
    </row>
    <row r="208" spans="1:6" ht="12.75" customHeight="1" x14ac:dyDescent="0.2">
      <c r="A208" s="69">
        <f t="shared" si="41"/>
        <v>160</v>
      </c>
      <c r="B208" s="70">
        <f t="shared" si="40"/>
        <v>45312</v>
      </c>
      <c r="C208" s="6" t="str">
        <f>$E$5</f>
        <v>KSK Rivalen Hannover</v>
      </c>
      <c r="D208" s="69" t="s">
        <v>17</v>
      </c>
      <c r="E208" s="6" t="str">
        <f>$E$8</f>
        <v>KSK Oldenburg / Holstein</v>
      </c>
      <c r="F208" s="6" t="str">
        <f>VLOOKUP(C208,Einzelwertung!V$5:W$49,2,0)</f>
        <v>Kegelcenter &amp; Sportsbar Hannover</v>
      </c>
    </row>
    <row r="209" spans="1:6" ht="12.75" customHeight="1" x14ac:dyDescent="0.2">
      <c r="A209" s="69">
        <f t="shared" si="41"/>
        <v>161</v>
      </c>
      <c r="B209" s="70">
        <f t="shared" si="40"/>
        <v>45312</v>
      </c>
      <c r="C209" s="6" t="str">
        <f>$E$12</f>
        <v>SG Sportkegler Kiel I</v>
      </c>
      <c r="D209" s="69" t="s">
        <v>17</v>
      </c>
      <c r="E209" s="6" t="str">
        <f>$E$7</f>
        <v>SV 90 Fehrbellin</v>
      </c>
      <c r="F209" s="6" t="str">
        <f>VLOOKUP(C209,Einzelwertung!V$5:W$49,2,0)</f>
        <v>ETV – Vereinsheim Kiel</v>
      </c>
    </row>
    <row r="210" spans="1:6" ht="12.75" customHeight="1" x14ac:dyDescent="0.2">
      <c r="A210" s="69">
        <f t="shared" si="41"/>
        <v>162</v>
      </c>
      <c r="B210" s="70">
        <f t="shared" si="40"/>
        <v>45312</v>
      </c>
      <c r="C210" s="6" t="str">
        <f>$E$13</f>
        <v>SG Sportkegler Kiel II</v>
      </c>
      <c r="D210" s="69" t="s">
        <v>17</v>
      </c>
      <c r="E210" s="6" t="str">
        <f>$E$6</f>
        <v>KV Hansa Stralsund</v>
      </c>
      <c r="F210" s="6" t="str">
        <f>VLOOKUP(C210,Einzelwertung!V$5:W$49,2,0)</f>
        <v>Haus des Sports Kiel</v>
      </c>
    </row>
    <row r="211" spans="1:6" ht="12.75" customHeight="1" x14ac:dyDescent="0.2">
      <c r="A211" s="69"/>
      <c r="B211" s="70"/>
      <c r="C211" s="6"/>
      <c r="D211" s="69"/>
      <c r="E211" s="6"/>
      <c r="F211" s="6" t="str">
        <f>IF(ISERROR(VLOOKUP(C211,#REF!,2,0)),"",VLOOKUP(C211,#REF!,2,0))</f>
        <v/>
      </c>
    </row>
    <row r="212" spans="1:6" ht="12.75" customHeight="1" x14ac:dyDescent="0.2">
      <c r="A212" s="69">
        <f>A210+1</f>
        <v>163</v>
      </c>
      <c r="B212" s="70">
        <v>45325</v>
      </c>
      <c r="C212" s="6" t="str">
        <f>$E$6</f>
        <v>KV Hansa Stralsund</v>
      </c>
      <c r="D212" s="69" t="s">
        <v>17</v>
      </c>
      <c r="E212" s="6" t="str">
        <f>$E$2</f>
        <v>SG Union Oberschöneweide</v>
      </c>
      <c r="F212" s="6" t="str">
        <f>VLOOKUP(C212,Einzelwertung!V$5:W$49,2,0)</f>
        <v>Bundeskegelbahn Stralsund</v>
      </c>
    </row>
    <row r="213" spans="1:6" ht="12.75" customHeight="1" x14ac:dyDescent="0.2">
      <c r="A213" s="69">
        <f>A212+1</f>
        <v>164</v>
      </c>
      <c r="B213" s="70">
        <f t="shared" ref="B213:B217" si="42">B212</f>
        <v>45325</v>
      </c>
      <c r="C213" s="6" t="str">
        <f>$E$7</f>
        <v>SV 90 Fehrbellin</v>
      </c>
      <c r="D213" s="69" t="s">
        <v>17</v>
      </c>
      <c r="E213" s="6" t="str">
        <f>$E$3</f>
        <v>Hertha BSC</v>
      </c>
      <c r="F213" s="6" t="str">
        <f>VLOOKUP(C213,Einzelwertung!V$5:W$49,2,0)</f>
        <v>Kegelsportstätte SV 90 Fehrbellin</v>
      </c>
    </row>
    <row r="214" spans="1:6" ht="12.75" customHeight="1" x14ac:dyDescent="0.2">
      <c r="A214" s="69">
        <f t="shared" ref="A214:A217" si="43">A213+1</f>
        <v>165</v>
      </c>
      <c r="B214" s="70">
        <f t="shared" si="42"/>
        <v>45325</v>
      </c>
      <c r="C214" s="6" t="str">
        <f>$E$10</f>
        <v>NKC 72 Berlin</v>
      </c>
      <c r="D214" s="69" t="s">
        <v>17</v>
      </c>
      <c r="E214" s="6" t="str">
        <f>$E$4</f>
        <v>KSG Cuxhaven / Stade</v>
      </c>
      <c r="F214" s="6" t="str">
        <f>VLOOKUP(C214,Einzelwertung!V$5:W$49,2,0)</f>
        <v>Willi-Sänger-Stadion Berlin</v>
      </c>
    </row>
    <row r="215" spans="1:6" ht="12.75" customHeight="1" x14ac:dyDescent="0.2">
      <c r="A215" s="69">
        <f t="shared" si="43"/>
        <v>166</v>
      </c>
      <c r="B215" s="70">
        <f t="shared" si="42"/>
        <v>45325</v>
      </c>
      <c r="C215" s="6" t="str">
        <f>$E$11</f>
        <v>Spandauer SV</v>
      </c>
      <c r="D215" s="69" t="s">
        <v>17</v>
      </c>
      <c r="E215" s="6" t="str">
        <f>$E$5</f>
        <v>KSK Rivalen Hannover</v>
      </c>
      <c r="F215" s="6" t="str">
        <f>VLOOKUP(C215,Einzelwertung!V$5:W$49,2,0)</f>
        <v>Robert von Siemens Sporthalle Berlin</v>
      </c>
    </row>
    <row r="216" spans="1:6" ht="12.75" customHeight="1" x14ac:dyDescent="0.2">
      <c r="A216" s="69">
        <f t="shared" si="43"/>
        <v>167</v>
      </c>
      <c r="B216" s="70">
        <f t="shared" si="42"/>
        <v>45325</v>
      </c>
      <c r="C216" s="6" t="str">
        <f>$E$8</f>
        <v>KSK Oldenburg / Holstein</v>
      </c>
      <c r="D216" s="69" t="s">
        <v>17</v>
      </c>
      <c r="E216" s="6" t="str">
        <f>$E$12</f>
        <v>SG Sportkegler Kiel I</v>
      </c>
      <c r="F216" s="6" t="str">
        <f>VLOOKUP(C216,Einzelwertung!V$5:W$49,2,0)</f>
        <v>Kegel- und Bowlingcenter Oldenburg i. H.</v>
      </c>
    </row>
    <row r="217" spans="1:6" ht="12.75" customHeight="1" x14ac:dyDescent="0.2">
      <c r="A217" s="69">
        <f t="shared" si="43"/>
        <v>168</v>
      </c>
      <c r="B217" s="70">
        <f t="shared" si="42"/>
        <v>45325</v>
      </c>
      <c r="C217" s="6" t="str">
        <f>$E$9</f>
        <v>SVL Seedorf von 1919</v>
      </c>
      <c r="D217" s="69" t="s">
        <v>17</v>
      </c>
      <c r="E217" s="6" t="str">
        <f>$E$13</f>
        <v>SG Sportkegler Kiel II</v>
      </c>
      <c r="F217" s="6" t="str">
        <f>VLOOKUP(C217,Einzelwertung!V$5:W$49,2,0)</f>
        <v>Kegelbahn SVL Seedorf</v>
      </c>
    </row>
    <row r="218" spans="1:6" ht="12.75" customHeight="1" x14ac:dyDescent="0.2">
      <c r="A218" s="69"/>
      <c r="B218" s="70"/>
      <c r="C218" s="6"/>
      <c r="D218" s="69"/>
      <c r="E218" s="6"/>
      <c r="F218" s="6" t="str">
        <f>IF(ISERROR(VLOOKUP(C218,#REF!,2,0)),"",VLOOKUP(C218,#REF!,2,0))</f>
        <v/>
      </c>
    </row>
    <row r="219" spans="1:6" ht="12.75" customHeight="1" x14ac:dyDescent="0.2">
      <c r="A219" s="69">
        <f>A217+1</f>
        <v>169</v>
      </c>
      <c r="B219" s="70">
        <f>B212+1</f>
        <v>45326</v>
      </c>
      <c r="C219" s="6" t="str">
        <f>$E$6</f>
        <v>KV Hansa Stralsund</v>
      </c>
      <c r="D219" s="69" t="s">
        <v>17</v>
      </c>
      <c r="E219" s="6" t="str">
        <f>$E$3</f>
        <v>Hertha BSC</v>
      </c>
      <c r="F219" s="6" t="str">
        <f>VLOOKUP(C219,Einzelwertung!V$5:W$49,2,0)</f>
        <v>Bundeskegelbahn Stralsund</v>
      </c>
    </row>
    <row r="220" spans="1:6" ht="12.75" customHeight="1" x14ac:dyDescent="0.2">
      <c r="A220" s="69">
        <f>A219+1</f>
        <v>170</v>
      </c>
      <c r="B220" s="70">
        <f t="shared" ref="B220:B224" si="44">B219</f>
        <v>45326</v>
      </c>
      <c r="C220" s="6" t="str">
        <f>$E$7</f>
        <v>SV 90 Fehrbellin</v>
      </c>
      <c r="D220" s="69" t="s">
        <v>17</v>
      </c>
      <c r="E220" s="6" t="str">
        <f>$E$2</f>
        <v>SG Union Oberschöneweide</v>
      </c>
      <c r="F220" s="6" t="str">
        <f>VLOOKUP(C220,Einzelwertung!V$5:W$49,2,0)</f>
        <v>Kegelsportstätte SV 90 Fehrbellin</v>
      </c>
    </row>
    <row r="221" spans="1:6" ht="12.75" customHeight="1" x14ac:dyDescent="0.2">
      <c r="A221" s="69">
        <f t="shared" ref="A221:A224" si="45">A220+1</f>
        <v>171</v>
      </c>
      <c r="B221" s="70">
        <f t="shared" si="44"/>
        <v>45326</v>
      </c>
      <c r="C221" s="6" t="str">
        <f>$E$10</f>
        <v>NKC 72 Berlin</v>
      </c>
      <c r="D221" s="69" t="s">
        <v>17</v>
      </c>
      <c r="E221" s="6" t="str">
        <f>$E$5</f>
        <v>KSK Rivalen Hannover</v>
      </c>
      <c r="F221" s="6" t="str">
        <f>VLOOKUP(C221,Einzelwertung!V$5:W$49,2,0)</f>
        <v>Willi-Sänger-Stadion Berlin</v>
      </c>
    </row>
    <row r="222" spans="1:6" ht="12.75" customHeight="1" x14ac:dyDescent="0.2">
      <c r="A222" s="69">
        <f t="shared" si="45"/>
        <v>172</v>
      </c>
      <c r="B222" s="70">
        <f t="shared" si="44"/>
        <v>45326</v>
      </c>
      <c r="C222" s="6" t="str">
        <f>$E$11</f>
        <v>Spandauer SV</v>
      </c>
      <c r="D222" s="69" t="s">
        <v>17</v>
      </c>
      <c r="E222" s="6" t="str">
        <f>$E$4</f>
        <v>KSG Cuxhaven / Stade</v>
      </c>
      <c r="F222" s="6" t="str">
        <f>VLOOKUP(C222,Einzelwertung!V$5:W$49,2,0)</f>
        <v>Robert von Siemens Sporthalle Berlin</v>
      </c>
    </row>
    <row r="223" spans="1:6" ht="12.75" customHeight="1" x14ac:dyDescent="0.2">
      <c r="A223" s="69">
        <f t="shared" si="45"/>
        <v>173</v>
      </c>
      <c r="B223" s="70">
        <f t="shared" si="44"/>
        <v>45326</v>
      </c>
      <c r="C223" s="6" t="str">
        <f>$E$8</f>
        <v>KSK Oldenburg / Holstein</v>
      </c>
      <c r="D223" s="69" t="s">
        <v>17</v>
      </c>
      <c r="E223" s="6" t="str">
        <f>$E$13</f>
        <v>SG Sportkegler Kiel II</v>
      </c>
      <c r="F223" s="6" t="str">
        <f>VLOOKUP(C223,Einzelwertung!V$5:W$49,2,0)</f>
        <v>Kegel- und Bowlingcenter Oldenburg i. H.</v>
      </c>
    </row>
    <row r="224" spans="1:6" ht="12.75" customHeight="1" x14ac:dyDescent="0.2">
      <c r="A224" s="69">
        <f t="shared" si="45"/>
        <v>174</v>
      </c>
      <c r="B224" s="70">
        <f t="shared" si="44"/>
        <v>45326</v>
      </c>
      <c r="C224" s="6" t="str">
        <f>$E$9</f>
        <v>SVL Seedorf von 1919</v>
      </c>
      <c r="D224" s="69" t="s">
        <v>17</v>
      </c>
      <c r="E224" s="6" t="str">
        <f>$E$12</f>
        <v>SG Sportkegler Kiel I</v>
      </c>
      <c r="F224" s="6" t="str">
        <f>VLOOKUP(C224,Einzelwertung!V$5:W$49,2,0)</f>
        <v>Kegelbahn SVL Seedorf</v>
      </c>
    </row>
    <row r="225" spans="1:6" ht="12.75" customHeight="1" x14ac:dyDescent="0.2">
      <c r="A225" s="69"/>
      <c r="B225" s="70"/>
      <c r="C225" s="6"/>
      <c r="D225" s="69"/>
      <c r="E225" s="6"/>
      <c r="F225" s="6"/>
    </row>
    <row r="226" spans="1:6" ht="12.75" customHeight="1" x14ac:dyDescent="0.2">
      <c r="A226" s="69">
        <f>A224+1</f>
        <v>175</v>
      </c>
      <c r="B226" s="70">
        <v>45346</v>
      </c>
      <c r="C226" s="6" t="str">
        <f>$E$12</f>
        <v>SG Sportkegler Kiel I</v>
      </c>
      <c r="D226" s="69" t="s">
        <v>17</v>
      </c>
      <c r="E226" s="6" t="str">
        <f>$E$2</f>
        <v>SG Union Oberschöneweide</v>
      </c>
      <c r="F226" s="6" t="str">
        <f>VLOOKUP(C226,Einzelwertung!V$5:W$49,2,0)</f>
        <v>ETV – Vereinsheim Kiel</v>
      </c>
    </row>
    <row r="227" spans="1:6" ht="12.75" customHeight="1" x14ac:dyDescent="0.2">
      <c r="A227" s="69">
        <f>A226+1</f>
        <v>176</v>
      </c>
      <c r="B227" s="70">
        <f t="shared" ref="B227:B231" si="46">B226</f>
        <v>45346</v>
      </c>
      <c r="C227" s="6" t="str">
        <f>$E$13</f>
        <v>SG Sportkegler Kiel II</v>
      </c>
      <c r="D227" s="69" t="s">
        <v>17</v>
      </c>
      <c r="E227" s="6" t="str">
        <f>$E$3</f>
        <v>Hertha BSC</v>
      </c>
      <c r="F227" s="6" t="str">
        <f>VLOOKUP(C227,Einzelwertung!V$5:W$49,2,0)</f>
        <v>Haus des Sports Kiel</v>
      </c>
    </row>
    <row r="228" spans="1:6" ht="12.75" customHeight="1" x14ac:dyDescent="0.2">
      <c r="A228" s="69">
        <f t="shared" ref="A228:A231" si="47">A227+1</f>
        <v>177</v>
      </c>
      <c r="B228" s="70">
        <f t="shared" si="46"/>
        <v>45346</v>
      </c>
      <c r="C228" s="6" t="str">
        <f>$E$6</f>
        <v>KV Hansa Stralsund</v>
      </c>
      <c r="D228" s="69" t="s">
        <v>17</v>
      </c>
      <c r="E228" s="6" t="str">
        <f>$E$4</f>
        <v>KSG Cuxhaven / Stade</v>
      </c>
      <c r="F228" s="6" t="str">
        <f>VLOOKUP(C228,Einzelwertung!V$5:W$49,2,0)</f>
        <v>Bundeskegelbahn Stralsund</v>
      </c>
    </row>
    <row r="229" spans="1:6" ht="12.75" customHeight="1" x14ac:dyDescent="0.2">
      <c r="A229" s="69">
        <f t="shared" si="47"/>
        <v>178</v>
      </c>
      <c r="B229" s="70">
        <f t="shared" si="46"/>
        <v>45346</v>
      </c>
      <c r="C229" s="6" t="str">
        <f>$E$7</f>
        <v>SV 90 Fehrbellin</v>
      </c>
      <c r="D229" s="69" t="s">
        <v>17</v>
      </c>
      <c r="E229" s="6" t="str">
        <f>$E$5</f>
        <v>KSK Rivalen Hannover</v>
      </c>
      <c r="F229" s="6" t="str">
        <f>VLOOKUP(C229,Einzelwertung!V$5:W$49,2,0)</f>
        <v>Kegelsportstätte SV 90 Fehrbellin</v>
      </c>
    </row>
    <row r="230" spans="1:6" ht="12.75" customHeight="1" x14ac:dyDescent="0.2">
      <c r="A230" s="69">
        <f t="shared" si="47"/>
        <v>179</v>
      </c>
      <c r="B230" s="70">
        <f t="shared" si="46"/>
        <v>45346</v>
      </c>
      <c r="C230" s="6" t="str">
        <f>$E$8</f>
        <v>KSK Oldenburg / Holstein</v>
      </c>
      <c r="D230" s="69" t="s">
        <v>17</v>
      </c>
      <c r="E230" s="6" t="str">
        <f>$E$10</f>
        <v>NKC 72 Berlin</v>
      </c>
      <c r="F230" s="6" t="str">
        <f>VLOOKUP(C230,Einzelwertung!V$5:W$49,2,0)</f>
        <v>Kegel- und Bowlingcenter Oldenburg i. H.</v>
      </c>
    </row>
    <row r="231" spans="1:6" ht="12.75" customHeight="1" x14ac:dyDescent="0.2">
      <c r="A231" s="69">
        <f t="shared" si="47"/>
        <v>180</v>
      </c>
      <c r="B231" s="70">
        <f t="shared" si="46"/>
        <v>45346</v>
      </c>
      <c r="C231" s="6" t="str">
        <f>$E$9</f>
        <v>SVL Seedorf von 1919</v>
      </c>
      <c r="D231" s="69" t="s">
        <v>17</v>
      </c>
      <c r="E231" s="6" t="str">
        <f>$E$11</f>
        <v>Spandauer SV</v>
      </c>
      <c r="F231" s="6" t="str">
        <f>VLOOKUP(C231,Einzelwertung!V$5:W$49,2,0)</f>
        <v>Kegelbahn SVL Seedorf</v>
      </c>
    </row>
    <row r="232" spans="1:6" x14ac:dyDescent="0.2">
      <c r="A232" s="69"/>
      <c r="B232" s="70"/>
      <c r="C232" s="6"/>
      <c r="D232" s="69"/>
      <c r="E232" s="6"/>
      <c r="F232" s="6"/>
    </row>
    <row r="233" spans="1:6" x14ac:dyDescent="0.2">
      <c r="A233" s="69">
        <f>A231+1</f>
        <v>181</v>
      </c>
      <c r="B233" s="70">
        <f>B226+1</f>
        <v>45347</v>
      </c>
      <c r="C233" s="6" t="str">
        <f>$E$12</f>
        <v>SG Sportkegler Kiel I</v>
      </c>
      <c r="D233" s="69" t="s">
        <v>17</v>
      </c>
      <c r="E233" s="6" t="str">
        <f>$E$3</f>
        <v>Hertha BSC</v>
      </c>
      <c r="F233" s="6" t="str">
        <f>VLOOKUP(C233,Einzelwertung!V$5:W$49,2,0)</f>
        <v>ETV – Vereinsheim Kiel</v>
      </c>
    </row>
    <row r="234" spans="1:6" x14ac:dyDescent="0.2">
      <c r="A234" s="69">
        <f>A233+1</f>
        <v>182</v>
      </c>
      <c r="B234" s="70">
        <f t="shared" ref="B234:B238" si="48">B233</f>
        <v>45347</v>
      </c>
      <c r="C234" s="6" t="str">
        <f>$E$13</f>
        <v>SG Sportkegler Kiel II</v>
      </c>
      <c r="D234" s="69" t="s">
        <v>17</v>
      </c>
      <c r="E234" s="6" t="str">
        <f>$E$2</f>
        <v>SG Union Oberschöneweide</v>
      </c>
      <c r="F234" s="6" t="str">
        <f>VLOOKUP(C234,Einzelwertung!V$5:W$49,2,0)</f>
        <v>Haus des Sports Kiel</v>
      </c>
    </row>
    <row r="235" spans="1:6" x14ac:dyDescent="0.2">
      <c r="A235" s="69">
        <f t="shared" ref="A235:A238" si="49">A234+1</f>
        <v>183</v>
      </c>
      <c r="B235" s="70">
        <f t="shared" si="48"/>
        <v>45347</v>
      </c>
      <c r="C235" s="6" t="str">
        <f>$E$6</f>
        <v>KV Hansa Stralsund</v>
      </c>
      <c r="D235" s="69" t="s">
        <v>17</v>
      </c>
      <c r="E235" s="6" t="str">
        <f>$E$5</f>
        <v>KSK Rivalen Hannover</v>
      </c>
      <c r="F235" s="6" t="str">
        <f>VLOOKUP(C235,Einzelwertung!V$5:W$49,2,0)</f>
        <v>Bundeskegelbahn Stralsund</v>
      </c>
    </row>
    <row r="236" spans="1:6" x14ac:dyDescent="0.2">
      <c r="A236" s="69">
        <f t="shared" si="49"/>
        <v>184</v>
      </c>
      <c r="B236" s="70">
        <f t="shared" si="48"/>
        <v>45347</v>
      </c>
      <c r="C236" s="6" t="str">
        <f>$E$7</f>
        <v>SV 90 Fehrbellin</v>
      </c>
      <c r="D236" s="69" t="s">
        <v>17</v>
      </c>
      <c r="E236" s="6" t="str">
        <f>$E$4</f>
        <v>KSG Cuxhaven / Stade</v>
      </c>
      <c r="F236" s="6" t="str">
        <f>VLOOKUP(C236,Einzelwertung!V$5:W$49,2,0)</f>
        <v>Kegelsportstätte SV 90 Fehrbellin</v>
      </c>
    </row>
    <row r="237" spans="1:6" x14ac:dyDescent="0.2">
      <c r="A237" s="69">
        <f t="shared" si="49"/>
        <v>185</v>
      </c>
      <c r="B237" s="70">
        <f t="shared" si="48"/>
        <v>45347</v>
      </c>
      <c r="C237" s="6" t="str">
        <f>$E$8</f>
        <v>KSK Oldenburg / Holstein</v>
      </c>
      <c r="D237" s="69" t="s">
        <v>17</v>
      </c>
      <c r="E237" s="6" t="str">
        <f>$E$11</f>
        <v>Spandauer SV</v>
      </c>
      <c r="F237" s="6" t="str">
        <f>VLOOKUP(C237,Einzelwertung!V$5:W$49,2,0)</f>
        <v>Kegel- und Bowlingcenter Oldenburg i. H.</v>
      </c>
    </row>
    <row r="238" spans="1:6" x14ac:dyDescent="0.2">
      <c r="A238" s="69">
        <f t="shared" si="49"/>
        <v>186</v>
      </c>
      <c r="B238" s="70">
        <f t="shared" si="48"/>
        <v>45347</v>
      </c>
      <c r="C238" s="6" t="str">
        <f>$E$9</f>
        <v>SVL Seedorf von 1919</v>
      </c>
      <c r="D238" s="69" t="s">
        <v>17</v>
      </c>
      <c r="E238" s="6" t="str">
        <f>$E$10</f>
        <v>NKC 72 Berlin</v>
      </c>
      <c r="F238" s="6" t="str">
        <f>VLOOKUP(C238,Einzelwertung!V$5:W$49,2,0)</f>
        <v>Kegelbahn SVL Seedorf</v>
      </c>
    </row>
    <row r="239" spans="1:6" x14ac:dyDescent="0.2">
      <c r="A239" s="69"/>
      <c r="B239" s="70"/>
      <c r="C239" s="6"/>
      <c r="D239" s="69"/>
      <c r="E239" s="6"/>
      <c r="F239" s="6"/>
    </row>
    <row r="240" spans="1:6" x14ac:dyDescent="0.2">
      <c r="A240" s="69">
        <f>A238+1</f>
        <v>187</v>
      </c>
      <c r="B240" s="70">
        <v>45360</v>
      </c>
      <c r="C240" s="6" t="str">
        <f>$E$2</f>
        <v>SG Union Oberschöneweide</v>
      </c>
      <c r="D240" s="69" t="s">
        <v>17</v>
      </c>
      <c r="E240" s="6" t="str">
        <f>$E$8</f>
        <v>KSK Oldenburg / Holstein</v>
      </c>
      <c r="F240" s="6" t="str">
        <f>VLOOKUP(C240,Einzelwertung!V$5:W$49,2,0)</f>
        <v>KSZ Hämmerlingstraße Berlin</v>
      </c>
    </row>
    <row r="241" spans="1:6" x14ac:dyDescent="0.2">
      <c r="A241" s="69">
        <f>A240+1</f>
        <v>188</v>
      </c>
      <c r="B241" s="70">
        <f t="shared" ref="B241:B245" si="50">B240</f>
        <v>45360</v>
      </c>
      <c r="C241" s="6" t="str">
        <f>$E$3</f>
        <v>Hertha BSC</v>
      </c>
      <c r="D241" s="69" t="s">
        <v>17</v>
      </c>
      <c r="E241" s="6" t="str">
        <f>$E$9</f>
        <v>SVL Seedorf von 1919</v>
      </c>
      <c r="F241" s="6" t="str">
        <f>VLOOKUP(C241,Einzelwertung!V$5:W$49,2,0)</f>
        <v>Kegelcenter Lok Schöneweide Berlin</v>
      </c>
    </row>
    <row r="242" spans="1:6" x14ac:dyDescent="0.2">
      <c r="A242" s="69">
        <f t="shared" ref="A242:A245" si="51">A241+1</f>
        <v>189</v>
      </c>
      <c r="B242" s="70">
        <f t="shared" si="50"/>
        <v>45360</v>
      </c>
      <c r="C242" s="6" t="str">
        <f>$E$4</f>
        <v>KSG Cuxhaven / Stade</v>
      </c>
      <c r="D242" s="69" t="s">
        <v>17</v>
      </c>
      <c r="E242" s="6" t="str">
        <f>$E$12</f>
        <v>SG Sportkegler Kiel I</v>
      </c>
      <c r="F242" s="6" t="str">
        <f>VLOOKUP(C242,Einzelwertung!V$5:W$49,2,0)</f>
        <v>Kegelzentrum Cuxhaven</v>
      </c>
    </row>
    <row r="243" spans="1:6" x14ac:dyDescent="0.2">
      <c r="A243" s="69">
        <f t="shared" si="51"/>
        <v>190</v>
      </c>
      <c r="B243" s="70">
        <f t="shared" si="50"/>
        <v>45360</v>
      </c>
      <c r="C243" s="6" t="str">
        <f>$E$5</f>
        <v>KSK Rivalen Hannover</v>
      </c>
      <c r="D243" s="69" t="s">
        <v>17</v>
      </c>
      <c r="E243" s="6" t="str">
        <f>$E$13</f>
        <v>SG Sportkegler Kiel II</v>
      </c>
      <c r="F243" s="6" t="str">
        <f>VLOOKUP(C243,Einzelwertung!V$5:W$49,2,0)</f>
        <v>Kegelcenter &amp; Sportsbar Hannover</v>
      </c>
    </row>
    <row r="244" spans="1:6" x14ac:dyDescent="0.2">
      <c r="A244" s="69">
        <f t="shared" si="51"/>
        <v>191</v>
      </c>
      <c r="B244" s="70">
        <f t="shared" si="50"/>
        <v>45360</v>
      </c>
      <c r="C244" s="6" t="str">
        <f>$E$10</f>
        <v>NKC 72 Berlin</v>
      </c>
      <c r="D244" s="69" t="s">
        <v>17</v>
      </c>
      <c r="E244" s="6" t="str">
        <f>$E$6</f>
        <v>KV Hansa Stralsund</v>
      </c>
      <c r="F244" s="6" t="str">
        <f>VLOOKUP(C244,Einzelwertung!V$5:W$49,2,0)</f>
        <v>Willi-Sänger-Stadion Berlin</v>
      </c>
    </row>
    <row r="245" spans="1:6" x14ac:dyDescent="0.2">
      <c r="A245" s="69">
        <f t="shared" si="51"/>
        <v>192</v>
      </c>
      <c r="B245" s="70">
        <f t="shared" si="50"/>
        <v>45360</v>
      </c>
      <c r="C245" s="6" t="str">
        <f>$E$11</f>
        <v>Spandauer SV</v>
      </c>
      <c r="D245" s="69" t="s">
        <v>17</v>
      </c>
      <c r="E245" s="6" t="str">
        <f>$E$7</f>
        <v>SV 90 Fehrbellin</v>
      </c>
      <c r="F245" s="6" t="str">
        <f>VLOOKUP(C245,Einzelwertung!V$5:W$49,2,0)</f>
        <v>Robert von Siemens Sporthalle Berlin</v>
      </c>
    </row>
    <row r="246" spans="1:6" x14ac:dyDescent="0.2">
      <c r="A246" s="69"/>
      <c r="B246" s="70"/>
      <c r="C246" s="6"/>
      <c r="D246" s="69"/>
      <c r="E246" s="6"/>
      <c r="F246" s="6"/>
    </row>
    <row r="247" spans="1:6" x14ac:dyDescent="0.2">
      <c r="A247" s="69">
        <f>A245+1</f>
        <v>193</v>
      </c>
      <c r="B247" s="70">
        <f>B240+1</f>
        <v>45361</v>
      </c>
      <c r="C247" s="6" t="str">
        <f>$E$2</f>
        <v>SG Union Oberschöneweide</v>
      </c>
      <c r="D247" s="69" t="s">
        <v>17</v>
      </c>
      <c r="E247" s="6" t="str">
        <f>$E$9</f>
        <v>SVL Seedorf von 1919</v>
      </c>
      <c r="F247" s="6" t="str">
        <f>VLOOKUP(C247,Einzelwertung!V$5:W$49,2,0)</f>
        <v>KSZ Hämmerlingstraße Berlin</v>
      </c>
    </row>
    <row r="248" spans="1:6" x14ac:dyDescent="0.2">
      <c r="A248" s="69">
        <f>A247+1</f>
        <v>194</v>
      </c>
      <c r="B248" s="70">
        <f t="shared" ref="B248:B252" si="52">B247</f>
        <v>45361</v>
      </c>
      <c r="C248" s="6" t="str">
        <f>$E$3</f>
        <v>Hertha BSC</v>
      </c>
      <c r="D248" s="69" t="s">
        <v>17</v>
      </c>
      <c r="E248" s="6" t="str">
        <f>$E$8</f>
        <v>KSK Oldenburg / Holstein</v>
      </c>
      <c r="F248" s="6" t="str">
        <f>VLOOKUP(C248,Einzelwertung!V$5:W$49,2,0)</f>
        <v>Kegelcenter Lok Schöneweide Berlin</v>
      </c>
    </row>
    <row r="249" spans="1:6" x14ac:dyDescent="0.2">
      <c r="A249" s="69">
        <f t="shared" ref="A249:A252" si="53">A248+1</f>
        <v>195</v>
      </c>
      <c r="B249" s="70">
        <f t="shared" si="52"/>
        <v>45361</v>
      </c>
      <c r="C249" s="6" t="str">
        <f>$E$4</f>
        <v>KSG Cuxhaven / Stade</v>
      </c>
      <c r="D249" s="69" t="s">
        <v>17</v>
      </c>
      <c r="E249" s="6" t="str">
        <f>$E$13</f>
        <v>SG Sportkegler Kiel II</v>
      </c>
      <c r="F249" s="6" t="str">
        <f>VLOOKUP(C249,Einzelwertung!V$5:W$49,2,0)</f>
        <v>Kegelzentrum Cuxhaven</v>
      </c>
    </row>
    <row r="250" spans="1:6" x14ac:dyDescent="0.2">
      <c r="A250" s="69">
        <f t="shared" si="53"/>
        <v>196</v>
      </c>
      <c r="B250" s="70">
        <f t="shared" si="52"/>
        <v>45361</v>
      </c>
      <c r="C250" s="6" t="str">
        <f>$E$5</f>
        <v>KSK Rivalen Hannover</v>
      </c>
      <c r="D250" s="69" t="s">
        <v>17</v>
      </c>
      <c r="E250" s="6" t="str">
        <f>$E$12</f>
        <v>SG Sportkegler Kiel I</v>
      </c>
      <c r="F250" s="6" t="str">
        <f>VLOOKUP(C250,Einzelwertung!V$5:W$49,2,0)</f>
        <v>Kegelcenter &amp; Sportsbar Hannover</v>
      </c>
    </row>
    <row r="251" spans="1:6" x14ac:dyDescent="0.2">
      <c r="A251" s="69">
        <f t="shared" si="53"/>
        <v>197</v>
      </c>
      <c r="B251" s="70">
        <f t="shared" si="52"/>
        <v>45361</v>
      </c>
      <c r="C251" s="6" t="str">
        <f>$E$10</f>
        <v>NKC 72 Berlin</v>
      </c>
      <c r="D251" s="69" t="s">
        <v>17</v>
      </c>
      <c r="E251" s="6" t="str">
        <f>$E$7</f>
        <v>SV 90 Fehrbellin</v>
      </c>
      <c r="F251" s="6" t="str">
        <f>VLOOKUP(C251,Einzelwertung!V$5:W$49,2,0)</f>
        <v>Willi-Sänger-Stadion Berlin</v>
      </c>
    </row>
    <row r="252" spans="1:6" x14ac:dyDescent="0.2">
      <c r="A252" s="69">
        <f t="shared" si="53"/>
        <v>198</v>
      </c>
      <c r="B252" s="70">
        <f t="shared" si="52"/>
        <v>45361</v>
      </c>
      <c r="C252" s="6" t="str">
        <f>$E$11</f>
        <v>Spandauer SV</v>
      </c>
      <c r="D252" s="69" t="s">
        <v>17</v>
      </c>
      <c r="E252" s="6" t="str">
        <f>$E$6</f>
        <v>KV Hansa Stralsund</v>
      </c>
      <c r="F252" s="6" t="str">
        <f>VLOOKUP(C252,Einzelwertung!V$5:W$49,2,0)</f>
        <v>Robert von Siemens Sporthalle Berlin</v>
      </c>
    </row>
    <row r="253" spans="1:6" x14ac:dyDescent="0.2">
      <c r="A253" s="69"/>
      <c r="B253" s="70"/>
      <c r="C253" s="6"/>
      <c r="D253" s="69"/>
      <c r="E253" s="6"/>
      <c r="F253" s="6"/>
    </row>
    <row r="254" spans="1:6" x14ac:dyDescent="0.2">
      <c r="A254" s="69">
        <v>199</v>
      </c>
      <c r="B254" s="70">
        <v>45178</v>
      </c>
      <c r="C254" s="71" t="str">
        <f>$F$3</f>
        <v>LTS Bremerhaven</v>
      </c>
      <c r="D254" s="72" t="s">
        <v>17</v>
      </c>
      <c r="E254" s="71" t="str">
        <f>$F$2</f>
        <v>SG Bremen</v>
      </c>
      <c r="F254" s="6" t="str">
        <f>VLOOKUP(C254,Einzelwertung!V$5:W$49,2,0)</f>
        <v>Kegelzentrum Bürgerhaus Lehe Bremerhaven</v>
      </c>
    </row>
    <row r="255" spans="1:6" x14ac:dyDescent="0.2">
      <c r="A255" s="69">
        <f>A254+1</f>
        <v>200</v>
      </c>
      <c r="B255" s="70">
        <f>B254</f>
        <v>45178</v>
      </c>
      <c r="C255" s="6" t="str">
        <f>$F$5</f>
        <v>SKV Bergedorf</v>
      </c>
      <c r="D255" s="69" t="s">
        <v>17</v>
      </c>
      <c r="E255" s="6" t="str">
        <f>$F$4</f>
        <v>SG Pinneberg</v>
      </c>
      <c r="F255" s="6" t="str">
        <f>VLOOKUP(C255,Einzelwertung!V$5:W$49,2,0)</f>
        <v>Kegelsporthalle Holstenhof Hamburg</v>
      </c>
    </row>
    <row r="256" spans="1:6" x14ac:dyDescent="0.2">
      <c r="A256" s="69">
        <f>A255+1</f>
        <v>201</v>
      </c>
      <c r="B256" s="70">
        <f>B254</f>
        <v>45178</v>
      </c>
      <c r="C256" s="6" t="str">
        <f>$F$7</f>
        <v>Sportfreunde Husum</v>
      </c>
      <c r="D256" s="69" t="s">
        <v>17</v>
      </c>
      <c r="E256" s="6" t="str">
        <f>$F$6</f>
        <v>Verein Itzehoer Sportkegler</v>
      </c>
      <c r="F256" s="6" t="str">
        <f>VLOOKUP(C256,Einzelwertung!V$5:W$49,2,0)</f>
        <v>VHK-Kegelsporthalle Husum</v>
      </c>
    </row>
    <row r="257" spans="1:6" x14ac:dyDescent="0.2">
      <c r="A257" s="69">
        <f>A256+1</f>
        <v>202</v>
      </c>
      <c r="B257" s="70">
        <f>B254</f>
        <v>45178</v>
      </c>
      <c r="C257" s="6" t="str">
        <f>$F$9</f>
        <v>KC Einheit 95 Schwerin</v>
      </c>
      <c r="D257" s="69" t="s">
        <v>17</v>
      </c>
      <c r="E257" s="6" t="str">
        <f>$F$8</f>
        <v>KSG Lüneburg</v>
      </c>
      <c r="F257" s="6" t="str">
        <f>VLOOKUP(C257,Einzelwertung!V$5:W$49,2,0)</f>
        <v>Klubhaus Einheit Schwerin</v>
      </c>
    </row>
    <row r="258" spans="1:6" x14ac:dyDescent="0.2">
      <c r="F258" s="6"/>
    </row>
    <row r="259" spans="1:6" x14ac:dyDescent="0.2">
      <c r="A259" s="69">
        <f>A257+1</f>
        <v>203</v>
      </c>
      <c r="B259" s="70">
        <f>B254+1</f>
        <v>45179</v>
      </c>
      <c r="C259" s="6" t="str">
        <f>$F$3</f>
        <v>LTS Bremerhaven</v>
      </c>
      <c r="D259" s="69" t="s">
        <v>17</v>
      </c>
      <c r="E259" s="6" t="str">
        <f>$F$8</f>
        <v>KSG Lüneburg</v>
      </c>
      <c r="F259" s="6" t="str">
        <f>VLOOKUP(C259,Einzelwertung!V$5:W$49,2,0)</f>
        <v>Kegelzentrum Bürgerhaus Lehe Bremerhaven</v>
      </c>
    </row>
    <row r="260" spans="1:6" x14ac:dyDescent="0.2">
      <c r="A260" s="69">
        <f>A259+1</f>
        <v>204</v>
      </c>
      <c r="B260" s="70">
        <f>B259</f>
        <v>45179</v>
      </c>
      <c r="C260" s="6" t="str">
        <f>$F$5</f>
        <v>SKV Bergedorf</v>
      </c>
      <c r="D260" s="69" t="s">
        <v>17</v>
      </c>
      <c r="E260" s="6" t="str">
        <f>$F$6</f>
        <v>Verein Itzehoer Sportkegler</v>
      </c>
      <c r="F260" s="6" t="str">
        <f>VLOOKUP(C260,Einzelwertung!V$5:W$49,2,0)</f>
        <v>Kegelsporthalle Holstenhof Hamburg</v>
      </c>
    </row>
    <row r="261" spans="1:6" x14ac:dyDescent="0.2">
      <c r="A261" s="69">
        <f>A260+1</f>
        <v>205</v>
      </c>
      <c r="B261" s="70">
        <f>B259</f>
        <v>45179</v>
      </c>
      <c r="C261" s="6" t="str">
        <f>$F$7</f>
        <v>Sportfreunde Husum</v>
      </c>
      <c r="D261" s="69" t="s">
        <v>17</v>
      </c>
      <c r="E261" s="6" t="str">
        <f>$F$2</f>
        <v>SG Bremen</v>
      </c>
      <c r="F261" s="6" t="str">
        <f>VLOOKUP(C261,Einzelwertung!V$5:W$49,2,0)</f>
        <v>VHK-Kegelsporthalle Husum</v>
      </c>
    </row>
    <row r="262" spans="1:6" x14ac:dyDescent="0.2">
      <c r="A262" s="69">
        <f>A261+1</f>
        <v>206</v>
      </c>
      <c r="B262" s="70">
        <f>B259</f>
        <v>45179</v>
      </c>
      <c r="C262" s="6" t="str">
        <f>$F$9</f>
        <v>KC Einheit 95 Schwerin</v>
      </c>
      <c r="D262" s="69" t="s">
        <v>17</v>
      </c>
      <c r="E262" s="6" t="str">
        <f>$F$4</f>
        <v>SG Pinneberg</v>
      </c>
      <c r="F262" s="6" t="str">
        <f>VLOOKUP(C262,Einzelwertung!V$5:W$49,2,0)</f>
        <v>Klubhaus Einheit Schwerin</v>
      </c>
    </row>
    <row r="263" spans="1:6" x14ac:dyDescent="0.2">
      <c r="F263" s="6"/>
    </row>
    <row r="264" spans="1:6" x14ac:dyDescent="0.2">
      <c r="A264" s="69">
        <f>A262+1</f>
        <v>207</v>
      </c>
      <c r="B264" s="70">
        <v>45206</v>
      </c>
      <c r="C264" s="6" t="str">
        <f>$F$2</f>
        <v>SG Bremen</v>
      </c>
      <c r="D264" s="69" t="s">
        <v>17</v>
      </c>
      <c r="E264" s="6" t="str">
        <f>$F$9</f>
        <v>KC Einheit 95 Schwerin</v>
      </c>
      <c r="F264" s="6" t="str">
        <f>VLOOKUP(C264,Einzelwertung!V$5:W$49,2,0)</f>
        <v>Kegelsportanlage im Bremer SC</v>
      </c>
    </row>
    <row r="265" spans="1:6" x14ac:dyDescent="0.2">
      <c r="A265" s="69">
        <f>A264+1</f>
        <v>208</v>
      </c>
      <c r="B265" s="70">
        <f>B264</f>
        <v>45206</v>
      </c>
      <c r="C265" s="6" t="str">
        <f>$F$4</f>
        <v>SG Pinneberg</v>
      </c>
      <c r="D265" s="69" t="s">
        <v>17</v>
      </c>
      <c r="E265" s="6" t="str">
        <f>$F$7</f>
        <v>Sportfreunde Husum</v>
      </c>
      <c r="F265" s="6" t="str">
        <f>VLOOKUP(C265,Einzelwertung!V$5:W$49,2,0)</f>
        <v>Kegelsporthalle Pinneberg</v>
      </c>
    </row>
    <row r="266" spans="1:6" x14ac:dyDescent="0.2">
      <c r="A266" s="69">
        <f>A265+1</f>
        <v>209</v>
      </c>
      <c r="B266" s="70">
        <f>B264</f>
        <v>45206</v>
      </c>
      <c r="C266" s="6" t="str">
        <f>$F$8</f>
        <v>KSG Lüneburg</v>
      </c>
      <c r="D266" s="69" t="s">
        <v>17</v>
      </c>
      <c r="E266" s="6" t="str">
        <f>$F$5</f>
        <v>SKV Bergedorf</v>
      </c>
      <c r="F266" s="6" t="str">
        <f>VLOOKUP(C266,Einzelwertung!V$5:W$49,2,0)</f>
        <v>Kegelsportzentrum Lüneburg</v>
      </c>
    </row>
    <row r="267" spans="1:6" x14ac:dyDescent="0.2">
      <c r="A267" s="69">
        <f>A266+1</f>
        <v>210</v>
      </c>
      <c r="B267" s="70">
        <f>B264</f>
        <v>45206</v>
      </c>
      <c r="C267" s="6" t="str">
        <f>$F$6</f>
        <v>Verein Itzehoer Sportkegler</v>
      </c>
      <c r="D267" s="69" t="s">
        <v>17</v>
      </c>
      <c r="E267" s="6" t="str">
        <f>$F$3</f>
        <v>LTS Bremerhaven</v>
      </c>
      <c r="F267" s="6" t="str">
        <f>VLOOKUP(C267,Einzelwertung!V$5:W$49,2,0)</f>
        <v>Gaststätte "Taverna Smyrna" Münsterdorf</v>
      </c>
    </row>
    <row r="268" spans="1:6" ht="15" x14ac:dyDescent="0.2">
      <c r="A268" s="73"/>
      <c r="B268" s="73"/>
      <c r="C268" s="74"/>
      <c r="F268" s="6"/>
    </row>
    <row r="269" spans="1:6" x14ac:dyDescent="0.2">
      <c r="A269" s="69">
        <f>A267+1</f>
        <v>211</v>
      </c>
      <c r="B269" s="70">
        <f>B264+1</f>
        <v>45207</v>
      </c>
      <c r="C269" s="6" t="str">
        <f>$F$2</f>
        <v>SG Bremen</v>
      </c>
      <c r="D269" s="69" t="s">
        <v>17</v>
      </c>
      <c r="E269" s="6" t="str">
        <f>$F$8</f>
        <v>KSG Lüneburg</v>
      </c>
      <c r="F269" s="6" t="str">
        <f>VLOOKUP(C269,Einzelwertung!V$5:W$49,2,0)</f>
        <v>Kegelsportanlage im Bremer SC</v>
      </c>
    </row>
    <row r="270" spans="1:6" x14ac:dyDescent="0.2">
      <c r="A270" s="69">
        <f>A269+1</f>
        <v>212</v>
      </c>
      <c r="B270" s="70">
        <f>B269</f>
        <v>45207</v>
      </c>
      <c r="C270" s="6" t="str">
        <f>$F$4</f>
        <v>SG Pinneberg</v>
      </c>
      <c r="D270" s="69" t="s">
        <v>17</v>
      </c>
      <c r="E270" s="6" t="str">
        <f>$F$6</f>
        <v>Verein Itzehoer Sportkegler</v>
      </c>
      <c r="F270" s="6" t="str">
        <f>VLOOKUP(C270,Einzelwertung!V$5:W$49,2,0)</f>
        <v>Kegelsporthalle Pinneberg</v>
      </c>
    </row>
    <row r="271" spans="1:6" x14ac:dyDescent="0.2">
      <c r="A271" s="69">
        <f>A270+1</f>
        <v>213</v>
      </c>
      <c r="B271" s="70">
        <f>B269</f>
        <v>45207</v>
      </c>
      <c r="C271" s="6" t="str">
        <f>$F$9</f>
        <v>KC Einheit 95 Schwerin</v>
      </c>
      <c r="D271" s="69" t="s">
        <v>17</v>
      </c>
      <c r="E271" s="6" t="str">
        <f>$F$5</f>
        <v>SKV Bergedorf</v>
      </c>
      <c r="F271" s="6" t="str">
        <f>VLOOKUP(C271,Einzelwertung!V$5:W$49,2,0)</f>
        <v>Klubhaus Einheit Schwerin</v>
      </c>
    </row>
    <row r="272" spans="1:6" x14ac:dyDescent="0.2">
      <c r="A272" s="69">
        <f>A271+1</f>
        <v>214</v>
      </c>
      <c r="B272" s="70">
        <f>B269</f>
        <v>45207</v>
      </c>
      <c r="C272" s="6" t="str">
        <f>$F$7</f>
        <v>Sportfreunde Husum</v>
      </c>
      <c r="D272" s="69" t="s">
        <v>17</v>
      </c>
      <c r="E272" s="6" t="str">
        <f>$F$3</f>
        <v>LTS Bremerhaven</v>
      </c>
      <c r="F272" s="6" t="str">
        <f>VLOOKUP(C272,Einzelwertung!V$5:W$49,2,0)</f>
        <v>VHK-Kegelsporthalle Husum</v>
      </c>
    </row>
    <row r="273" spans="1:6" x14ac:dyDescent="0.2">
      <c r="F273" s="6"/>
    </row>
    <row r="274" spans="1:6" x14ac:dyDescent="0.2">
      <c r="A274" s="69">
        <f>A272+1</f>
        <v>215</v>
      </c>
      <c r="B274" s="70">
        <v>45234</v>
      </c>
      <c r="C274" s="6" t="str">
        <f>$F$6</f>
        <v>Verein Itzehoer Sportkegler</v>
      </c>
      <c r="D274" s="69" t="s">
        <v>17</v>
      </c>
      <c r="E274" s="6" t="str">
        <f>$F$2</f>
        <v>SG Bremen</v>
      </c>
      <c r="F274" s="6" t="str">
        <f>VLOOKUP(C274,Einzelwertung!V$5:W$49,2,0)</f>
        <v>Gaststätte "Taverna Smyrna" Münsterdorf</v>
      </c>
    </row>
    <row r="275" spans="1:6" x14ac:dyDescent="0.2">
      <c r="A275" s="69">
        <f>A274+1</f>
        <v>216</v>
      </c>
      <c r="B275" s="70">
        <f>B274</f>
        <v>45234</v>
      </c>
      <c r="C275" s="6" t="str">
        <f>$F$3</f>
        <v>LTS Bremerhaven</v>
      </c>
      <c r="D275" s="69" t="s">
        <v>17</v>
      </c>
      <c r="E275" s="6" t="str">
        <f>$F$9</f>
        <v>KC Einheit 95 Schwerin</v>
      </c>
      <c r="F275" s="6" t="str">
        <f>VLOOKUP(C275,Einzelwertung!V$5:W$49,2,0)</f>
        <v>Kegelzentrum Bürgerhaus Lehe Bremerhaven</v>
      </c>
    </row>
    <row r="276" spans="1:6" x14ac:dyDescent="0.2">
      <c r="A276" s="69">
        <f>A275+1</f>
        <v>217</v>
      </c>
      <c r="B276" s="70">
        <f>B274</f>
        <v>45234</v>
      </c>
      <c r="C276" s="6" t="str">
        <f>$F$5</f>
        <v>SKV Bergedorf</v>
      </c>
      <c r="D276" s="69" t="s">
        <v>17</v>
      </c>
      <c r="E276" s="6" t="str">
        <f>$F$7</f>
        <v>Sportfreunde Husum</v>
      </c>
      <c r="F276" s="6" t="str">
        <f>VLOOKUP(C276,Einzelwertung!V$5:W$49,2,0)</f>
        <v>Kegelsporthalle Holstenhof Hamburg</v>
      </c>
    </row>
    <row r="277" spans="1:6" x14ac:dyDescent="0.2">
      <c r="A277" s="69">
        <f>A276+1</f>
        <v>218</v>
      </c>
      <c r="B277" s="70">
        <f>B274</f>
        <v>45234</v>
      </c>
      <c r="C277" s="6" t="str">
        <f>$F$8</f>
        <v>KSG Lüneburg</v>
      </c>
      <c r="D277" s="69" t="s">
        <v>17</v>
      </c>
      <c r="E277" s="6" t="str">
        <f>$F$4</f>
        <v>SG Pinneberg</v>
      </c>
      <c r="F277" s="6" t="str">
        <f>VLOOKUP(C277,Einzelwertung!V$5:W$49,2,0)</f>
        <v>Kegelsportzentrum Lüneburg</v>
      </c>
    </row>
    <row r="278" spans="1:6" x14ac:dyDescent="0.2">
      <c r="F278" s="6"/>
    </row>
    <row r="279" spans="1:6" x14ac:dyDescent="0.2">
      <c r="A279" s="69">
        <f>A277+1</f>
        <v>219</v>
      </c>
      <c r="B279" s="70">
        <f>B274+1</f>
        <v>45235</v>
      </c>
      <c r="C279" s="6" t="str">
        <f>$F$2</f>
        <v>SG Bremen</v>
      </c>
      <c r="D279" s="69" t="s">
        <v>17</v>
      </c>
      <c r="E279" s="6" t="str">
        <f>$F$3</f>
        <v>LTS Bremerhaven</v>
      </c>
      <c r="F279" s="6" t="str">
        <f>VLOOKUP(C279,Einzelwertung!V$5:W$49,2,0)</f>
        <v>Kegelsportanlage im Bremer SC</v>
      </c>
    </row>
    <row r="280" spans="1:6" x14ac:dyDescent="0.2">
      <c r="A280" s="69">
        <f>A279+1</f>
        <v>220</v>
      </c>
      <c r="B280" s="70">
        <f>B279</f>
        <v>45235</v>
      </c>
      <c r="C280" s="6" t="str">
        <f>$F$4</f>
        <v>SG Pinneberg</v>
      </c>
      <c r="D280" s="69" t="s">
        <v>17</v>
      </c>
      <c r="E280" s="6" t="str">
        <f>$F$5</f>
        <v>SKV Bergedorf</v>
      </c>
      <c r="F280" s="6" t="str">
        <f>VLOOKUP(C280,Einzelwertung!V$5:W$49,2,0)</f>
        <v>Kegelsporthalle Pinneberg</v>
      </c>
    </row>
    <row r="281" spans="1:6" x14ac:dyDescent="0.2">
      <c r="A281" s="69">
        <f>A280+1</f>
        <v>221</v>
      </c>
      <c r="B281" s="70">
        <f>B279</f>
        <v>45235</v>
      </c>
      <c r="C281" s="6" t="str">
        <f>$F$6</f>
        <v>Verein Itzehoer Sportkegler</v>
      </c>
      <c r="D281" s="69" t="s">
        <v>17</v>
      </c>
      <c r="E281" s="6" t="str">
        <f>$F$7</f>
        <v>Sportfreunde Husum</v>
      </c>
      <c r="F281" s="6" t="str">
        <f>VLOOKUP(C281,Einzelwertung!V$5:W$49,2,0)</f>
        <v>Gaststätte "Taverna Smyrna" Münsterdorf</v>
      </c>
    </row>
    <row r="282" spans="1:6" x14ac:dyDescent="0.2">
      <c r="A282" s="69">
        <f>A281+1</f>
        <v>222</v>
      </c>
      <c r="B282" s="70">
        <f>B279</f>
        <v>45235</v>
      </c>
      <c r="C282" s="6" t="str">
        <f>$F$8</f>
        <v>KSG Lüneburg</v>
      </c>
      <c r="D282" s="69" t="s">
        <v>17</v>
      </c>
      <c r="E282" s="6" t="str">
        <f>$F$9</f>
        <v>KC Einheit 95 Schwerin</v>
      </c>
      <c r="F282" s="6" t="str">
        <f>VLOOKUP(C282,Einzelwertung!V$5:W$49,2,0)</f>
        <v>Kegelsportzentrum Lüneburg</v>
      </c>
    </row>
    <row r="283" spans="1:6" x14ac:dyDescent="0.2">
      <c r="F283" s="6"/>
    </row>
    <row r="284" spans="1:6" x14ac:dyDescent="0.2">
      <c r="A284" s="69">
        <f>A282+1</f>
        <v>223</v>
      </c>
      <c r="B284" s="70">
        <v>45269</v>
      </c>
      <c r="C284" s="6" t="str">
        <f>$F$2</f>
        <v>SG Bremen</v>
      </c>
      <c r="D284" s="69" t="s">
        <v>17</v>
      </c>
      <c r="E284" s="6" t="str">
        <f>$F$4</f>
        <v>SG Pinneberg</v>
      </c>
      <c r="F284" s="6" t="str">
        <f>VLOOKUP(C284,Einzelwertung!V$5:W$49,2,0)</f>
        <v>Kegelsportanlage im Bremer SC</v>
      </c>
    </row>
    <row r="285" spans="1:6" x14ac:dyDescent="0.2">
      <c r="A285" s="69">
        <f>A284+1</f>
        <v>224</v>
      </c>
      <c r="B285" s="70">
        <f>B284</f>
        <v>45269</v>
      </c>
      <c r="C285" s="6" t="str">
        <f>$F$3</f>
        <v>LTS Bremerhaven</v>
      </c>
      <c r="D285" s="69" t="s">
        <v>17</v>
      </c>
      <c r="E285" s="6" t="str">
        <f>$F$5</f>
        <v>SKV Bergedorf</v>
      </c>
      <c r="F285" s="6" t="str">
        <f>VLOOKUP(C285,Einzelwertung!V$5:W$49,2,0)</f>
        <v>Kegelzentrum Bürgerhaus Lehe Bremerhaven</v>
      </c>
    </row>
    <row r="286" spans="1:6" x14ac:dyDescent="0.2">
      <c r="A286" s="69">
        <f>A285+1</f>
        <v>225</v>
      </c>
      <c r="B286" s="70">
        <f>B284</f>
        <v>45269</v>
      </c>
      <c r="C286" s="6" t="str">
        <f>$F$6</f>
        <v>Verein Itzehoer Sportkegler</v>
      </c>
      <c r="D286" s="69" t="s">
        <v>17</v>
      </c>
      <c r="E286" s="6" t="str">
        <f>$F$8</f>
        <v>KSG Lüneburg</v>
      </c>
      <c r="F286" s="6" t="str">
        <f>VLOOKUP(C286,Einzelwertung!V$5:W$49,2,0)</f>
        <v>Gaststätte "Taverna Smyrna" Münsterdorf</v>
      </c>
    </row>
    <row r="287" spans="1:6" x14ac:dyDescent="0.2">
      <c r="A287" s="69">
        <f>A286+1</f>
        <v>226</v>
      </c>
      <c r="B287" s="70">
        <f>B284</f>
        <v>45269</v>
      </c>
      <c r="C287" s="6" t="str">
        <f>$F$7</f>
        <v>Sportfreunde Husum</v>
      </c>
      <c r="D287" s="69" t="s">
        <v>17</v>
      </c>
      <c r="E287" s="6" t="str">
        <f>$F$9</f>
        <v>KC Einheit 95 Schwerin</v>
      </c>
      <c r="F287" s="6" t="str">
        <f>VLOOKUP(C287,Einzelwertung!V$5:W$49,2,0)</f>
        <v>VHK-Kegelsporthalle Husum</v>
      </c>
    </row>
    <row r="288" spans="1:6" x14ac:dyDescent="0.2">
      <c r="F288" s="6"/>
    </row>
    <row r="289" spans="1:6" x14ac:dyDescent="0.2">
      <c r="A289" s="69">
        <f>A287+1</f>
        <v>227</v>
      </c>
      <c r="B289" s="70">
        <f>B284+1</f>
        <v>45270</v>
      </c>
      <c r="C289" s="6" t="str">
        <f>$F$2</f>
        <v>SG Bremen</v>
      </c>
      <c r="D289" s="69" t="s">
        <v>17</v>
      </c>
      <c r="E289" s="6" t="str">
        <f>$F$5</f>
        <v>SKV Bergedorf</v>
      </c>
      <c r="F289" s="6" t="str">
        <f>VLOOKUP(C289,Einzelwertung!V$5:W$49,2,0)</f>
        <v>Kegelsportanlage im Bremer SC</v>
      </c>
    </row>
    <row r="290" spans="1:6" x14ac:dyDescent="0.2">
      <c r="A290" s="69">
        <f>A289+1</f>
        <v>228</v>
      </c>
      <c r="B290" s="70">
        <f>B289</f>
        <v>45270</v>
      </c>
      <c r="C290" s="6" t="str">
        <f>$F$3</f>
        <v>LTS Bremerhaven</v>
      </c>
      <c r="D290" s="69" t="s">
        <v>17</v>
      </c>
      <c r="E290" s="6" t="str">
        <f>$F$4</f>
        <v>SG Pinneberg</v>
      </c>
      <c r="F290" s="6" t="str">
        <f>VLOOKUP(C290,Einzelwertung!V$5:W$49,2,0)</f>
        <v>Kegelzentrum Bürgerhaus Lehe Bremerhaven</v>
      </c>
    </row>
    <row r="291" spans="1:6" x14ac:dyDescent="0.2">
      <c r="A291" s="69">
        <f>A290+1</f>
        <v>229</v>
      </c>
      <c r="B291" s="70">
        <f>B289</f>
        <v>45270</v>
      </c>
      <c r="C291" s="6" t="str">
        <f>$F$6</f>
        <v>Verein Itzehoer Sportkegler</v>
      </c>
      <c r="D291" s="69" t="s">
        <v>17</v>
      </c>
      <c r="E291" s="6" t="str">
        <f>$F$9</f>
        <v>KC Einheit 95 Schwerin</v>
      </c>
      <c r="F291" s="6" t="str">
        <f>VLOOKUP(C291,Einzelwertung!V$5:W$49,2,0)</f>
        <v>Gaststätte "Taverna Smyrna" Münsterdorf</v>
      </c>
    </row>
    <row r="292" spans="1:6" x14ac:dyDescent="0.2">
      <c r="A292" s="69">
        <f>A291+1</f>
        <v>230</v>
      </c>
      <c r="B292" s="70">
        <f>B289</f>
        <v>45270</v>
      </c>
      <c r="C292" s="6" t="str">
        <f>$F$7</f>
        <v>Sportfreunde Husum</v>
      </c>
      <c r="D292" s="69" t="s">
        <v>17</v>
      </c>
      <c r="E292" s="6" t="str">
        <f>$F$8</f>
        <v>KSG Lüneburg</v>
      </c>
      <c r="F292" s="6" t="str">
        <f>VLOOKUP(C292,Einzelwertung!V$5:W$49,2,0)</f>
        <v>VHK-Kegelsporthalle Husum</v>
      </c>
    </row>
    <row r="293" spans="1:6" x14ac:dyDescent="0.2">
      <c r="F293" s="6"/>
    </row>
    <row r="294" spans="1:6" x14ac:dyDescent="0.2">
      <c r="A294" s="69">
        <f>A292+1</f>
        <v>231</v>
      </c>
      <c r="B294" s="70">
        <v>45297</v>
      </c>
      <c r="C294" s="6" t="str">
        <f>$F$4</f>
        <v>SG Pinneberg</v>
      </c>
      <c r="D294" s="69" t="s">
        <v>17</v>
      </c>
      <c r="E294" s="6" t="str">
        <f>$F$2</f>
        <v>SG Bremen</v>
      </c>
      <c r="F294" s="6" t="str">
        <f>VLOOKUP(C294,Einzelwertung!V$5:W$49,2,0)</f>
        <v>Kegelsporthalle Pinneberg</v>
      </c>
    </row>
    <row r="295" spans="1:6" x14ac:dyDescent="0.2">
      <c r="A295" s="69">
        <f>A294+1</f>
        <v>232</v>
      </c>
      <c r="B295" s="70">
        <f>B294</f>
        <v>45297</v>
      </c>
      <c r="C295" s="6" t="str">
        <f>$F$5</f>
        <v>SKV Bergedorf</v>
      </c>
      <c r="D295" s="69" t="s">
        <v>17</v>
      </c>
      <c r="E295" s="6" t="str">
        <f>$F$3</f>
        <v>LTS Bremerhaven</v>
      </c>
      <c r="F295" s="6" t="str">
        <f>VLOOKUP(C295,Einzelwertung!V$5:W$49,2,0)</f>
        <v>Kegelsporthalle Holstenhof Hamburg</v>
      </c>
    </row>
    <row r="296" spans="1:6" x14ac:dyDescent="0.2">
      <c r="A296" s="69">
        <f>A295+1</f>
        <v>233</v>
      </c>
      <c r="B296" s="70">
        <f>B294</f>
        <v>45297</v>
      </c>
      <c r="C296" s="6" t="str">
        <f>$F$8</f>
        <v>KSG Lüneburg</v>
      </c>
      <c r="D296" s="69" t="s">
        <v>17</v>
      </c>
      <c r="E296" s="6" t="str">
        <f>$F$6</f>
        <v>Verein Itzehoer Sportkegler</v>
      </c>
      <c r="F296" s="6" t="str">
        <f>VLOOKUP(C296,Einzelwertung!V$5:W$49,2,0)</f>
        <v>Kegelsportzentrum Lüneburg</v>
      </c>
    </row>
    <row r="297" spans="1:6" x14ac:dyDescent="0.2">
      <c r="A297" s="69">
        <f>A296+1</f>
        <v>234</v>
      </c>
      <c r="B297" s="70">
        <f>B294</f>
        <v>45297</v>
      </c>
      <c r="C297" s="6" t="str">
        <f>$F$9</f>
        <v>KC Einheit 95 Schwerin</v>
      </c>
      <c r="D297" s="69" t="s">
        <v>17</v>
      </c>
      <c r="E297" s="6" t="str">
        <f>$F$7</f>
        <v>Sportfreunde Husum</v>
      </c>
      <c r="F297" s="6" t="str">
        <f>VLOOKUP(C297,Einzelwertung!V$5:W$49,2,0)</f>
        <v>Klubhaus Einheit Schwerin</v>
      </c>
    </row>
    <row r="298" spans="1:6" x14ac:dyDescent="0.2">
      <c r="F298" s="6"/>
    </row>
    <row r="299" spans="1:6" x14ac:dyDescent="0.2">
      <c r="A299" s="69">
        <f>A297+1</f>
        <v>235</v>
      </c>
      <c r="B299" s="70">
        <f>B294+1</f>
        <v>45298</v>
      </c>
      <c r="C299" s="6" t="str">
        <f>$F$5</f>
        <v>SKV Bergedorf</v>
      </c>
      <c r="D299" s="69" t="s">
        <v>17</v>
      </c>
      <c r="E299" s="6" t="str">
        <f>$F$2</f>
        <v>SG Bremen</v>
      </c>
      <c r="F299" s="6" t="str">
        <f>VLOOKUP(C299,Einzelwertung!V$5:W$49,2,0)</f>
        <v>Kegelsporthalle Holstenhof Hamburg</v>
      </c>
    </row>
    <row r="300" spans="1:6" x14ac:dyDescent="0.2">
      <c r="A300" s="69">
        <f>A299+1</f>
        <v>236</v>
      </c>
      <c r="B300" s="70">
        <f>B299</f>
        <v>45298</v>
      </c>
      <c r="C300" s="6" t="str">
        <f>$F$4</f>
        <v>SG Pinneberg</v>
      </c>
      <c r="D300" s="69" t="s">
        <v>17</v>
      </c>
      <c r="E300" s="6" t="str">
        <f>$F$3</f>
        <v>LTS Bremerhaven</v>
      </c>
      <c r="F300" s="6" t="str">
        <f>VLOOKUP(C300,Einzelwertung!V$5:W$49,2,0)</f>
        <v>Kegelsporthalle Pinneberg</v>
      </c>
    </row>
    <row r="301" spans="1:6" x14ac:dyDescent="0.2">
      <c r="A301" s="69">
        <f>A300+1</f>
        <v>237</v>
      </c>
      <c r="B301" s="70">
        <f>B299</f>
        <v>45298</v>
      </c>
      <c r="C301" s="6" t="str">
        <f>$F$8</f>
        <v>KSG Lüneburg</v>
      </c>
      <c r="D301" s="69" t="s">
        <v>17</v>
      </c>
      <c r="E301" s="6" t="str">
        <f>$F$7</f>
        <v>Sportfreunde Husum</v>
      </c>
      <c r="F301" s="6" t="str">
        <f>VLOOKUP(C301,Einzelwertung!V$5:W$49,2,0)</f>
        <v>Kegelsportzentrum Lüneburg</v>
      </c>
    </row>
    <row r="302" spans="1:6" x14ac:dyDescent="0.2">
      <c r="A302" s="69">
        <f>A301+1</f>
        <v>238</v>
      </c>
      <c r="B302" s="70">
        <f>B299</f>
        <v>45298</v>
      </c>
      <c r="C302" s="6" t="str">
        <f>$F$9</f>
        <v>KC Einheit 95 Schwerin</v>
      </c>
      <c r="D302" s="69" t="s">
        <v>17</v>
      </c>
      <c r="E302" s="6" t="str">
        <f>$F$6</f>
        <v>Verein Itzehoer Sportkegler</v>
      </c>
      <c r="F302" s="6" t="str">
        <f>VLOOKUP(C302,Einzelwertung!V$5:W$49,2,0)</f>
        <v>Klubhaus Einheit Schwerin</v>
      </c>
    </row>
    <row r="303" spans="1:6" x14ac:dyDescent="0.2">
      <c r="F303" s="6"/>
    </row>
    <row r="304" spans="1:6" x14ac:dyDescent="0.2">
      <c r="A304" s="69">
        <f>A302+1</f>
        <v>239</v>
      </c>
      <c r="B304" s="70">
        <v>45325</v>
      </c>
      <c r="C304" s="6" t="str">
        <f>$F$2</f>
        <v>SG Bremen</v>
      </c>
      <c r="D304" s="69" t="s">
        <v>17</v>
      </c>
      <c r="E304" s="6" t="str">
        <f>$F$6</f>
        <v>Verein Itzehoer Sportkegler</v>
      </c>
      <c r="F304" s="6" t="str">
        <f>VLOOKUP(C304,Einzelwertung!V$5:W$49,2,0)</f>
        <v>Kegelsportanlage im Bremer SC</v>
      </c>
    </row>
    <row r="305" spans="1:6" x14ac:dyDescent="0.2">
      <c r="A305" s="69">
        <f>A304+1</f>
        <v>240</v>
      </c>
      <c r="B305" s="70">
        <f>B304</f>
        <v>45325</v>
      </c>
      <c r="C305" s="6" t="str">
        <f>$F$3</f>
        <v>LTS Bremerhaven</v>
      </c>
      <c r="D305" s="69" t="s">
        <v>17</v>
      </c>
      <c r="E305" s="6" t="str">
        <f>$F$7</f>
        <v>Sportfreunde Husum</v>
      </c>
      <c r="F305" s="6" t="str">
        <f>VLOOKUP(C305,Einzelwertung!V$5:W$49,2,0)</f>
        <v>Kegelzentrum Bürgerhaus Lehe Bremerhaven</v>
      </c>
    </row>
    <row r="306" spans="1:6" x14ac:dyDescent="0.2">
      <c r="A306" s="69">
        <f>A305+1</f>
        <v>241</v>
      </c>
      <c r="B306" s="70">
        <f>B304</f>
        <v>45325</v>
      </c>
      <c r="C306" s="6" t="str">
        <f>$F$4</f>
        <v>SG Pinneberg</v>
      </c>
      <c r="D306" s="69" t="s">
        <v>17</v>
      </c>
      <c r="E306" s="6" t="str">
        <f>$F$8</f>
        <v>KSG Lüneburg</v>
      </c>
      <c r="F306" s="6" t="str">
        <f>VLOOKUP(C306,Einzelwertung!V$5:W$49,2,0)</f>
        <v>Kegelsporthalle Pinneberg</v>
      </c>
    </row>
    <row r="307" spans="1:6" x14ac:dyDescent="0.2">
      <c r="A307" s="69">
        <f>A306+1</f>
        <v>242</v>
      </c>
      <c r="B307" s="70">
        <f>B304</f>
        <v>45325</v>
      </c>
      <c r="C307" s="6" t="str">
        <f>$F$5</f>
        <v>SKV Bergedorf</v>
      </c>
      <c r="D307" s="69" t="s">
        <v>17</v>
      </c>
      <c r="E307" s="6" t="str">
        <f>$F$9</f>
        <v>KC Einheit 95 Schwerin</v>
      </c>
      <c r="F307" s="6" t="str">
        <f>VLOOKUP(C307,Einzelwertung!V$5:W$49,2,0)</f>
        <v>Kegelsporthalle Holstenhof Hamburg</v>
      </c>
    </row>
    <row r="308" spans="1:6" x14ac:dyDescent="0.2">
      <c r="F308" s="6"/>
    </row>
    <row r="309" spans="1:6" x14ac:dyDescent="0.2">
      <c r="A309" s="69">
        <f>A307+1</f>
        <v>243</v>
      </c>
      <c r="B309" s="70">
        <f>B304+1</f>
        <v>45326</v>
      </c>
      <c r="C309" s="6" t="str">
        <f>$F$2</f>
        <v>SG Bremen</v>
      </c>
      <c r="D309" s="69" t="s">
        <v>17</v>
      </c>
      <c r="E309" s="6" t="str">
        <f>$F$7</f>
        <v>Sportfreunde Husum</v>
      </c>
      <c r="F309" s="6" t="str">
        <f>VLOOKUP(C309,Einzelwertung!V$5:W$49,2,0)</f>
        <v>Kegelsportanlage im Bremer SC</v>
      </c>
    </row>
    <row r="310" spans="1:6" x14ac:dyDescent="0.2">
      <c r="A310" s="69">
        <f>A309+1</f>
        <v>244</v>
      </c>
      <c r="B310" s="70">
        <f>B309</f>
        <v>45326</v>
      </c>
      <c r="C310" s="6" t="str">
        <f>$F$3</f>
        <v>LTS Bremerhaven</v>
      </c>
      <c r="D310" s="69" t="s">
        <v>17</v>
      </c>
      <c r="E310" s="6" t="str">
        <f>$F$6</f>
        <v>Verein Itzehoer Sportkegler</v>
      </c>
      <c r="F310" s="6" t="str">
        <f>VLOOKUP(C310,Einzelwertung!V$5:W$49,2,0)</f>
        <v>Kegelzentrum Bürgerhaus Lehe Bremerhaven</v>
      </c>
    </row>
    <row r="311" spans="1:6" x14ac:dyDescent="0.2">
      <c r="A311" s="69">
        <f>A310+1</f>
        <v>245</v>
      </c>
      <c r="B311" s="70">
        <f>B309</f>
        <v>45326</v>
      </c>
      <c r="C311" s="6" t="str">
        <f>$F$4</f>
        <v>SG Pinneberg</v>
      </c>
      <c r="D311" s="69" t="s">
        <v>17</v>
      </c>
      <c r="E311" s="6" t="str">
        <f>$F$9</f>
        <v>KC Einheit 95 Schwerin</v>
      </c>
      <c r="F311" s="6" t="str">
        <f>VLOOKUP(C311,Einzelwertung!V$5:W$49,2,0)</f>
        <v>Kegelsporthalle Pinneberg</v>
      </c>
    </row>
    <row r="312" spans="1:6" x14ac:dyDescent="0.2">
      <c r="A312" s="69">
        <f>A311+1</f>
        <v>246</v>
      </c>
      <c r="B312" s="70">
        <f>B309</f>
        <v>45326</v>
      </c>
      <c r="C312" s="6" t="str">
        <f>$F$5</f>
        <v>SKV Bergedorf</v>
      </c>
      <c r="D312" s="69" t="s">
        <v>17</v>
      </c>
      <c r="E312" s="6" t="str">
        <f>$F$8</f>
        <v>KSG Lüneburg</v>
      </c>
      <c r="F312" s="6" t="str">
        <f>VLOOKUP(C312,Einzelwertung!V$5:W$49,2,0)</f>
        <v>Kegelsporthalle Holstenhof Hamburg</v>
      </c>
    </row>
    <row r="313" spans="1:6" x14ac:dyDescent="0.2">
      <c r="F313" s="6"/>
    </row>
    <row r="314" spans="1:6" x14ac:dyDescent="0.2">
      <c r="A314" s="69">
        <f>A312+1</f>
        <v>247</v>
      </c>
      <c r="B314" s="70">
        <v>45360</v>
      </c>
      <c r="C314" s="6" t="str">
        <f>$F$8</f>
        <v>KSG Lüneburg</v>
      </c>
      <c r="D314" s="69" t="s">
        <v>17</v>
      </c>
      <c r="E314" s="6" t="str">
        <f>$F$2</f>
        <v>SG Bremen</v>
      </c>
      <c r="F314" s="6" t="str">
        <f>VLOOKUP(C314,Einzelwertung!V$5:W$49,2,0)</f>
        <v>Kegelsportzentrum Lüneburg</v>
      </c>
    </row>
    <row r="315" spans="1:6" x14ac:dyDescent="0.2">
      <c r="A315" s="69">
        <f>A314+1</f>
        <v>248</v>
      </c>
      <c r="B315" s="70">
        <f>B314</f>
        <v>45360</v>
      </c>
      <c r="C315" s="6" t="str">
        <f>$F$9</f>
        <v>KC Einheit 95 Schwerin</v>
      </c>
      <c r="D315" s="69" t="s">
        <v>17</v>
      </c>
      <c r="E315" s="6" t="str">
        <f>$F$3</f>
        <v>LTS Bremerhaven</v>
      </c>
      <c r="F315" s="6" t="str">
        <f>VLOOKUP(C315,Einzelwertung!V$5:W$49,2,0)</f>
        <v>Klubhaus Einheit Schwerin</v>
      </c>
    </row>
    <row r="316" spans="1:6" x14ac:dyDescent="0.2">
      <c r="A316" s="69">
        <f>A315+1</f>
        <v>249</v>
      </c>
      <c r="B316" s="70">
        <f>B314</f>
        <v>45360</v>
      </c>
      <c r="C316" s="6" t="str">
        <f>$F$6</f>
        <v>Verein Itzehoer Sportkegler</v>
      </c>
      <c r="D316" s="69" t="s">
        <v>17</v>
      </c>
      <c r="E316" s="6" t="str">
        <f>$F$4</f>
        <v>SG Pinneberg</v>
      </c>
      <c r="F316" s="6" t="str">
        <f>VLOOKUP(C316,Einzelwertung!V$5:W$49,2,0)</f>
        <v>Gaststätte "Taverna Smyrna" Münsterdorf</v>
      </c>
    </row>
    <row r="317" spans="1:6" x14ac:dyDescent="0.2">
      <c r="A317" s="69">
        <f>A316+1</f>
        <v>250</v>
      </c>
      <c r="B317" s="70">
        <f>B314</f>
        <v>45360</v>
      </c>
      <c r="C317" s="6" t="str">
        <f>$F$7</f>
        <v>Sportfreunde Husum</v>
      </c>
      <c r="D317" s="69" t="s">
        <v>17</v>
      </c>
      <c r="E317" s="6" t="str">
        <f>$F$5</f>
        <v>SKV Bergedorf</v>
      </c>
      <c r="F317" s="6" t="str">
        <f>VLOOKUP(C317,Einzelwertung!V$5:W$49,2,0)</f>
        <v>VHK-Kegelsporthalle Husum</v>
      </c>
    </row>
    <row r="318" spans="1:6" x14ac:dyDescent="0.2">
      <c r="F318" s="6"/>
    </row>
    <row r="319" spans="1:6" x14ac:dyDescent="0.2">
      <c r="A319" s="69">
        <f>A317+1</f>
        <v>251</v>
      </c>
      <c r="B319" s="70">
        <f>B314+1</f>
        <v>45361</v>
      </c>
      <c r="C319" s="6" t="str">
        <f>$F$9</f>
        <v>KC Einheit 95 Schwerin</v>
      </c>
      <c r="D319" s="69" t="s">
        <v>17</v>
      </c>
      <c r="E319" s="6" t="str">
        <f>$F$2</f>
        <v>SG Bremen</v>
      </c>
      <c r="F319" s="6" t="str">
        <f>VLOOKUP(C319,Einzelwertung!V$5:W$49,2,0)</f>
        <v>Klubhaus Einheit Schwerin</v>
      </c>
    </row>
    <row r="320" spans="1:6" x14ac:dyDescent="0.2">
      <c r="A320" s="69">
        <f>A319+1</f>
        <v>252</v>
      </c>
      <c r="B320" s="70">
        <f>B319</f>
        <v>45361</v>
      </c>
      <c r="C320" s="6" t="str">
        <f>$F$8</f>
        <v>KSG Lüneburg</v>
      </c>
      <c r="D320" s="69" t="s">
        <v>17</v>
      </c>
      <c r="E320" s="6" t="str">
        <f>$F$3</f>
        <v>LTS Bremerhaven</v>
      </c>
      <c r="F320" s="6" t="str">
        <f>VLOOKUP(C320,Einzelwertung!V$5:W$49,2,0)</f>
        <v>Kegelsportzentrum Lüneburg</v>
      </c>
    </row>
    <row r="321" spans="1:6" x14ac:dyDescent="0.2">
      <c r="A321" s="69">
        <f>A320+1</f>
        <v>253</v>
      </c>
      <c r="B321" s="70">
        <f>B319</f>
        <v>45361</v>
      </c>
      <c r="C321" s="6" t="str">
        <f>$F$7</f>
        <v>Sportfreunde Husum</v>
      </c>
      <c r="D321" s="69" t="s">
        <v>17</v>
      </c>
      <c r="E321" s="6" t="str">
        <f>$F$4</f>
        <v>SG Pinneberg</v>
      </c>
      <c r="F321" s="6" t="str">
        <f>VLOOKUP(C321,Einzelwertung!V$5:W$49,2,0)</f>
        <v>VHK-Kegelsporthalle Husum</v>
      </c>
    </row>
    <row r="322" spans="1:6" x14ac:dyDescent="0.2">
      <c r="A322" s="69">
        <f>A321+1</f>
        <v>254</v>
      </c>
      <c r="B322" s="70">
        <f>B319</f>
        <v>45361</v>
      </c>
      <c r="C322" s="6" t="str">
        <f>$F$6</f>
        <v>Verein Itzehoer Sportkegler</v>
      </c>
      <c r="D322" s="69" t="s">
        <v>17</v>
      </c>
      <c r="E322" s="6" t="str">
        <f>$F$5</f>
        <v>SKV Bergedorf</v>
      </c>
      <c r="F322" s="6" t="str">
        <f>VLOOKUP(C322,Einzelwertung!V$5:W$49,2,0)</f>
        <v>Gaststätte "Taverna Smyrna" Münsterdorf</v>
      </c>
    </row>
    <row r="323" spans="1:6" x14ac:dyDescent="0.2">
      <c r="F323" s="6"/>
    </row>
    <row r="324" spans="1:6" x14ac:dyDescent="0.2">
      <c r="A324" s="69">
        <f>A322+1</f>
        <v>255</v>
      </c>
      <c r="B324" s="70">
        <f>B254</f>
        <v>45178</v>
      </c>
      <c r="C324" s="71" t="str">
        <f>$G$6</f>
        <v>SG Eberswalde</v>
      </c>
      <c r="D324" s="72" t="s">
        <v>17</v>
      </c>
      <c r="E324" s="71" t="str">
        <f>$G$2</f>
        <v>SG Sparta / KSG Berlin</v>
      </c>
      <c r="F324" s="6" t="str">
        <f>VLOOKUP(C324,Einzelwertung!V$5:W$49,2,0)</f>
        <v>Eberswalder Westendstadion</v>
      </c>
    </row>
    <row r="325" spans="1:6" x14ac:dyDescent="0.2">
      <c r="A325" s="69">
        <f>A324+1</f>
        <v>256</v>
      </c>
      <c r="B325" s="70">
        <f>B324</f>
        <v>45178</v>
      </c>
      <c r="C325" s="6" t="str">
        <f>$G$7</f>
        <v>KSV Pasewalk</v>
      </c>
      <c r="D325" s="69" t="s">
        <v>17</v>
      </c>
      <c r="E325" s="6" t="str">
        <f>$G$3</f>
        <v>SG Michendorf / Seddin</v>
      </c>
      <c r="F325" s="6" t="str">
        <f>VLOOKUP(C325,Einzelwertung!V$5:W$49,2,0)</f>
        <v>Kegelbahn des Neubrandenburger Kegelverein</v>
      </c>
    </row>
    <row r="326" spans="1:6" x14ac:dyDescent="0.2">
      <c r="A326" s="69">
        <f>A325+1</f>
        <v>257</v>
      </c>
      <c r="B326" s="70">
        <f>B324</f>
        <v>45178</v>
      </c>
      <c r="C326" s="6" t="str">
        <f>$G$8</f>
        <v>SV Blau-Weiß 76 Stavenhagen</v>
      </c>
      <c r="D326" s="69" t="s">
        <v>17</v>
      </c>
      <c r="E326" s="6" t="str">
        <f>$G$4</f>
        <v>SG EBT / Eintracht Berlin</v>
      </c>
      <c r="F326" s="6" t="str">
        <f>VLOOKUP(C326,Einzelwertung!V$5:W$49,2,0)</f>
        <v>Friedrich-Ludwig-Jahn-Halle Stavenhagen</v>
      </c>
    </row>
    <row r="327" spans="1:6" x14ac:dyDescent="0.2">
      <c r="A327" s="69">
        <f>A326+1</f>
        <v>258</v>
      </c>
      <c r="B327" s="70">
        <f>B324</f>
        <v>45178</v>
      </c>
      <c r="C327" s="6" t="str">
        <f>$G$9</f>
        <v>SG Greifswald / Wolgast</v>
      </c>
      <c r="D327" s="69" t="s">
        <v>17</v>
      </c>
      <c r="E327" s="6" t="str">
        <f>$G$5</f>
        <v>SpG Adlershof / Lichtenberg 47</v>
      </c>
      <c r="F327" s="6" t="str">
        <f>VLOOKUP(C327,Einzelwertung!V$5:W$49,2,0)</f>
        <v>Kegelbahn Greifswalder KV</v>
      </c>
    </row>
    <row r="328" spans="1:6" x14ac:dyDescent="0.2">
      <c r="F328" s="6"/>
    </row>
    <row r="329" spans="1:6" x14ac:dyDescent="0.2">
      <c r="A329" s="69">
        <f>A327+1</f>
        <v>259</v>
      </c>
      <c r="B329" s="70">
        <f>B324+1</f>
        <v>45179</v>
      </c>
      <c r="C329" s="6" t="str">
        <f>$G$7</f>
        <v>KSV Pasewalk</v>
      </c>
      <c r="D329" s="69" t="s">
        <v>17</v>
      </c>
      <c r="E329" s="6" t="str">
        <f>$G$2</f>
        <v>SG Sparta / KSG Berlin</v>
      </c>
      <c r="F329" s="6" t="str">
        <f>VLOOKUP(C329,Einzelwertung!V$5:W$49,2,0)</f>
        <v>Kegelbahn des Neubrandenburger Kegelverein</v>
      </c>
    </row>
    <row r="330" spans="1:6" x14ac:dyDescent="0.2">
      <c r="A330" s="69">
        <f>A329+1</f>
        <v>260</v>
      </c>
      <c r="B330" s="70">
        <f>B329</f>
        <v>45179</v>
      </c>
      <c r="C330" s="6" t="str">
        <f>$G$6</f>
        <v>SG Eberswalde</v>
      </c>
      <c r="D330" s="69" t="s">
        <v>17</v>
      </c>
      <c r="E330" s="6" t="str">
        <f>$G$3</f>
        <v>SG Michendorf / Seddin</v>
      </c>
      <c r="F330" s="6" t="str">
        <f>VLOOKUP(C330,Einzelwertung!V$5:W$49,2,0)</f>
        <v>Eberswalder Westendstadion</v>
      </c>
    </row>
    <row r="331" spans="1:6" x14ac:dyDescent="0.2">
      <c r="A331" s="69">
        <f>A330+1</f>
        <v>261</v>
      </c>
      <c r="B331" s="70">
        <f>B329</f>
        <v>45179</v>
      </c>
      <c r="C331" s="6" t="str">
        <f>$G$9</f>
        <v>SG Greifswald / Wolgast</v>
      </c>
      <c r="D331" s="69" t="s">
        <v>17</v>
      </c>
      <c r="E331" s="6" t="str">
        <f>$G$4</f>
        <v>SG EBT / Eintracht Berlin</v>
      </c>
      <c r="F331" s="6" t="str">
        <f>VLOOKUP(C331,Einzelwertung!V$5:W$49,2,0)</f>
        <v>Kegelbahn Greifswalder KV</v>
      </c>
    </row>
    <row r="332" spans="1:6" x14ac:dyDescent="0.2">
      <c r="A332" s="69">
        <f>A331+1</f>
        <v>262</v>
      </c>
      <c r="B332" s="70">
        <f>B329</f>
        <v>45179</v>
      </c>
      <c r="C332" s="6" t="str">
        <f>$G$8</f>
        <v>SV Blau-Weiß 76 Stavenhagen</v>
      </c>
      <c r="D332" s="69" t="s">
        <v>17</v>
      </c>
      <c r="E332" s="6" t="str">
        <f>$G$5</f>
        <v>SpG Adlershof / Lichtenberg 47</v>
      </c>
      <c r="F332" s="6" t="str">
        <f>VLOOKUP(C332,Einzelwertung!V$5:W$49,2,0)</f>
        <v>Friedrich-Ludwig-Jahn-Halle Stavenhagen</v>
      </c>
    </row>
    <row r="333" spans="1:6" x14ac:dyDescent="0.2">
      <c r="F333" s="6"/>
    </row>
    <row r="334" spans="1:6" x14ac:dyDescent="0.2">
      <c r="A334" s="69">
        <f>A332+1</f>
        <v>263</v>
      </c>
      <c r="B334" s="70">
        <f>B264</f>
        <v>45206</v>
      </c>
      <c r="C334" s="6" t="str">
        <f>$G$2</f>
        <v>SG Sparta / KSG Berlin</v>
      </c>
      <c r="D334" s="69" t="s">
        <v>17</v>
      </c>
      <c r="E334" s="6" t="str">
        <f>$G$8</f>
        <v>SV Blau-Weiß 76 Stavenhagen</v>
      </c>
      <c r="F334" s="6" t="str">
        <f>VLOOKUP(C334,Einzelwertung!V$5:W$49,2,0)</f>
        <v>KSZ Hämmerlingstraße Berlin</v>
      </c>
    </row>
    <row r="335" spans="1:6" x14ac:dyDescent="0.2">
      <c r="A335" s="69">
        <f>A334+1</f>
        <v>264</v>
      </c>
      <c r="B335" s="70">
        <f>B334</f>
        <v>45206</v>
      </c>
      <c r="C335" s="6" t="str">
        <f>$G$3</f>
        <v>SG Michendorf / Seddin</v>
      </c>
      <c r="D335" s="69" t="s">
        <v>17</v>
      </c>
      <c r="E335" s="6" t="str">
        <f>$G$9</f>
        <v>SG Greifswald / Wolgast</v>
      </c>
      <c r="F335" s="6" t="str">
        <f>VLOOKUP(C335,Einzelwertung!V$5:W$49,2,0)</f>
        <v>Kegelbahn Michendorf</v>
      </c>
    </row>
    <row r="336" spans="1:6" x14ac:dyDescent="0.2">
      <c r="A336" s="69">
        <f>A335+1</f>
        <v>265</v>
      </c>
      <c r="B336" s="70">
        <f>B334</f>
        <v>45206</v>
      </c>
      <c r="C336" s="6" t="str">
        <f>$G$4</f>
        <v>SG EBT / Eintracht Berlin</v>
      </c>
      <c r="D336" s="69" t="s">
        <v>17</v>
      </c>
      <c r="E336" s="6" t="str">
        <f>$G$6</f>
        <v>SG Eberswalde</v>
      </c>
      <c r="F336" s="6" t="str">
        <f>VLOOKUP(C336,Einzelwertung!V$5:W$49,2,0)</f>
        <v>Sportzentrum Friedrichshain Berlin</v>
      </c>
    </row>
    <row r="337" spans="1:6" x14ac:dyDescent="0.2">
      <c r="A337" s="69">
        <f>A336+1</f>
        <v>266</v>
      </c>
      <c r="B337" s="70">
        <f>B334</f>
        <v>45206</v>
      </c>
      <c r="C337" s="6" t="str">
        <f>$G$5</f>
        <v>SpG Adlershof / Lichtenberg 47</v>
      </c>
      <c r="D337" s="69" t="s">
        <v>17</v>
      </c>
      <c r="E337" s="6" t="str">
        <f>$G$7</f>
        <v>KSV Pasewalk</v>
      </c>
      <c r="F337" s="6" t="str">
        <f>VLOOKUP(C337,Einzelwertung!V$5:W$49,2,0)</f>
        <v>Kegelsportanlage "Völkerfreundschaft" Berlin</v>
      </c>
    </row>
    <row r="338" spans="1:6" ht="15" x14ac:dyDescent="0.2">
      <c r="C338" s="74"/>
      <c r="F338" s="6"/>
    </row>
    <row r="339" spans="1:6" x14ac:dyDescent="0.2">
      <c r="A339" s="69">
        <f>A337+1</f>
        <v>267</v>
      </c>
      <c r="B339" s="70">
        <f>B334+1</f>
        <v>45207</v>
      </c>
      <c r="C339" s="6" t="str">
        <f>$G$2</f>
        <v>SG Sparta / KSG Berlin</v>
      </c>
      <c r="D339" s="69" t="s">
        <v>17</v>
      </c>
      <c r="E339" s="6" t="str">
        <f>$G$9</f>
        <v>SG Greifswald / Wolgast</v>
      </c>
      <c r="F339" s="6" t="str">
        <f>VLOOKUP(C339,Einzelwertung!V$5:W$49,2,0)</f>
        <v>KSZ Hämmerlingstraße Berlin</v>
      </c>
    </row>
    <row r="340" spans="1:6" x14ac:dyDescent="0.2">
      <c r="A340" s="69">
        <f>A339+1</f>
        <v>268</v>
      </c>
      <c r="B340" s="70">
        <f>B339</f>
        <v>45207</v>
      </c>
      <c r="C340" s="6" t="str">
        <f>$G$3</f>
        <v>SG Michendorf / Seddin</v>
      </c>
      <c r="D340" s="69" t="s">
        <v>17</v>
      </c>
      <c r="E340" s="6" t="str">
        <f>$G$8</f>
        <v>SV Blau-Weiß 76 Stavenhagen</v>
      </c>
      <c r="F340" s="6" t="str">
        <f>VLOOKUP(C340,Einzelwertung!V$5:W$49,2,0)</f>
        <v>Kegelbahn Michendorf</v>
      </c>
    </row>
    <row r="341" spans="1:6" x14ac:dyDescent="0.2">
      <c r="A341" s="69">
        <f>A340+1</f>
        <v>269</v>
      </c>
      <c r="B341" s="70">
        <f>B339</f>
        <v>45207</v>
      </c>
      <c r="C341" s="6" t="str">
        <f>$G$4</f>
        <v>SG EBT / Eintracht Berlin</v>
      </c>
      <c r="D341" s="69" t="s">
        <v>17</v>
      </c>
      <c r="E341" s="6" t="str">
        <f>$G$7</f>
        <v>KSV Pasewalk</v>
      </c>
      <c r="F341" s="6" t="str">
        <f>VLOOKUP(C341,Einzelwertung!V$5:W$49,2,0)</f>
        <v>Sportzentrum Friedrichshain Berlin</v>
      </c>
    </row>
    <row r="342" spans="1:6" x14ac:dyDescent="0.2">
      <c r="A342" s="69">
        <f>A341+1</f>
        <v>270</v>
      </c>
      <c r="B342" s="70">
        <f>B339</f>
        <v>45207</v>
      </c>
      <c r="C342" s="6" t="str">
        <f>$G$5</f>
        <v>SpG Adlershof / Lichtenberg 47</v>
      </c>
      <c r="D342" s="69" t="s">
        <v>17</v>
      </c>
      <c r="E342" s="6" t="str">
        <f>$G$6</f>
        <v>SG Eberswalde</v>
      </c>
      <c r="F342" s="6" t="str">
        <f>VLOOKUP(C342,Einzelwertung!V$5:W$49,2,0)</f>
        <v>Kegelsportanlage "Völkerfreundschaft" Berlin</v>
      </c>
    </row>
    <row r="343" spans="1:6" x14ac:dyDescent="0.2">
      <c r="F343" s="6"/>
    </row>
    <row r="344" spans="1:6" x14ac:dyDescent="0.2">
      <c r="A344" s="69">
        <f>A342+1</f>
        <v>271</v>
      </c>
      <c r="B344" s="70">
        <f>B274</f>
        <v>45234</v>
      </c>
      <c r="C344" s="6" t="str">
        <f>$G$2</f>
        <v>SG Sparta / KSG Berlin</v>
      </c>
      <c r="D344" s="69" t="s">
        <v>17</v>
      </c>
      <c r="E344" s="6" t="str">
        <f>$G$4</f>
        <v>SG EBT / Eintracht Berlin</v>
      </c>
      <c r="F344" s="6" t="str">
        <f>VLOOKUP(C344,Einzelwertung!V$5:W$49,2,0)</f>
        <v>KSZ Hämmerlingstraße Berlin</v>
      </c>
    </row>
    <row r="345" spans="1:6" x14ac:dyDescent="0.2">
      <c r="A345" s="69">
        <f>A344+1</f>
        <v>272</v>
      </c>
      <c r="B345" s="70">
        <f>B344</f>
        <v>45234</v>
      </c>
      <c r="C345" s="6" t="str">
        <f>$G$3</f>
        <v>SG Michendorf / Seddin</v>
      </c>
      <c r="D345" s="69" t="s">
        <v>17</v>
      </c>
      <c r="E345" s="6" t="str">
        <f>$G$5</f>
        <v>SpG Adlershof / Lichtenberg 47</v>
      </c>
      <c r="F345" s="6" t="str">
        <f>VLOOKUP(C345,Einzelwertung!V$5:W$49,2,0)</f>
        <v>Kegelbahn Michendorf</v>
      </c>
    </row>
    <row r="346" spans="1:6" x14ac:dyDescent="0.2">
      <c r="A346" s="69">
        <f>A345+1</f>
        <v>273</v>
      </c>
      <c r="B346" s="70">
        <f>B344</f>
        <v>45234</v>
      </c>
      <c r="C346" s="6" t="str">
        <f>$G$6</f>
        <v>SG Eberswalde</v>
      </c>
      <c r="D346" s="69" t="s">
        <v>17</v>
      </c>
      <c r="E346" s="6" t="str">
        <f>$G$8</f>
        <v>SV Blau-Weiß 76 Stavenhagen</v>
      </c>
      <c r="F346" s="6" t="str">
        <f>VLOOKUP(C346,Einzelwertung!V$5:W$49,2,0)</f>
        <v>Eberswalder Westendstadion</v>
      </c>
    </row>
    <row r="347" spans="1:6" x14ac:dyDescent="0.2">
      <c r="A347" s="69">
        <f>A346+1</f>
        <v>274</v>
      </c>
      <c r="B347" s="70">
        <f>B344</f>
        <v>45234</v>
      </c>
      <c r="C347" s="6" t="str">
        <f>$G$7</f>
        <v>KSV Pasewalk</v>
      </c>
      <c r="D347" s="69" t="s">
        <v>17</v>
      </c>
      <c r="E347" s="6" t="str">
        <f>$G$9</f>
        <v>SG Greifswald / Wolgast</v>
      </c>
      <c r="F347" s="6" t="str">
        <f>VLOOKUP(C347,Einzelwertung!V$5:W$49,2,0)</f>
        <v>Kegelbahn des Neubrandenburger Kegelverein</v>
      </c>
    </row>
    <row r="348" spans="1:6" x14ac:dyDescent="0.2">
      <c r="F348" s="6"/>
    </row>
    <row r="349" spans="1:6" x14ac:dyDescent="0.2">
      <c r="A349" s="69">
        <f>A347+1</f>
        <v>275</v>
      </c>
      <c r="B349" s="70">
        <f>B344+1</f>
        <v>45235</v>
      </c>
      <c r="C349" s="6" t="str">
        <f>$G$2</f>
        <v>SG Sparta / KSG Berlin</v>
      </c>
      <c r="D349" s="69" t="s">
        <v>17</v>
      </c>
      <c r="E349" s="6" t="str">
        <f>$G$5</f>
        <v>SpG Adlershof / Lichtenberg 47</v>
      </c>
      <c r="F349" s="6" t="str">
        <f>VLOOKUP(C349,Einzelwertung!V$5:W$49,2,0)</f>
        <v>KSZ Hämmerlingstraße Berlin</v>
      </c>
    </row>
    <row r="350" spans="1:6" x14ac:dyDescent="0.2">
      <c r="A350" s="69">
        <f>A349+1</f>
        <v>276</v>
      </c>
      <c r="B350" s="70">
        <f>B349</f>
        <v>45235</v>
      </c>
      <c r="C350" s="6" t="str">
        <f>$G$3</f>
        <v>SG Michendorf / Seddin</v>
      </c>
      <c r="D350" s="69" t="s">
        <v>17</v>
      </c>
      <c r="E350" s="6" t="str">
        <f>$G$4</f>
        <v>SG EBT / Eintracht Berlin</v>
      </c>
      <c r="F350" s="6" t="str">
        <f>VLOOKUP(C350,Einzelwertung!V$5:W$49,2,0)</f>
        <v>Kegelbahn Michendorf</v>
      </c>
    </row>
    <row r="351" spans="1:6" x14ac:dyDescent="0.2">
      <c r="A351" s="69">
        <f>A350+1</f>
        <v>277</v>
      </c>
      <c r="B351" s="70">
        <f>B349</f>
        <v>45235</v>
      </c>
      <c r="C351" s="6" t="str">
        <f>$G$6</f>
        <v>SG Eberswalde</v>
      </c>
      <c r="D351" s="69" t="s">
        <v>17</v>
      </c>
      <c r="E351" s="6" t="str">
        <f>$G$9</f>
        <v>SG Greifswald / Wolgast</v>
      </c>
      <c r="F351" s="6" t="str">
        <f>VLOOKUP(C351,Einzelwertung!V$5:W$49,2,0)</f>
        <v>Eberswalder Westendstadion</v>
      </c>
    </row>
    <row r="352" spans="1:6" x14ac:dyDescent="0.2">
      <c r="A352" s="69">
        <f>A351+1</f>
        <v>278</v>
      </c>
      <c r="B352" s="70">
        <f>B349</f>
        <v>45235</v>
      </c>
      <c r="C352" s="6" t="str">
        <f>$G$7</f>
        <v>KSV Pasewalk</v>
      </c>
      <c r="D352" s="69" t="s">
        <v>17</v>
      </c>
      <c r="E352" s="6" t="str">
        <f>$G$8</f>
        <v>SV Blau-Weiß 76 Stavenhagen</v>
      </c>
      <c r="F352" s="6" t="str">
        <f>VLOOKUP(C352,Einzelwertung!V$5:W$49,2,0)</f>
        <v>Kegelbahn des Neubrandenburger Kegelverein</v>
      </c>
    </row>
    <row r="353" spans="1:6" x14ac:dyDescent="0.2">
      <c r="F353" s="6"/>
    </row>
    <row r="354" spans="1:6" x14ac:dyDescent="0.2">
      <c r="A354" s="69">
        <f>A352+1</f>
        <v>279</v>
      </c>
      <c r="B354" s="70">
        <f>B284</f>
        <v>45269</v>
      </c>
      <c r="C354" s="6" t="str">
        <f>$G$3</f>
        <v>SG Michendorf / Seddin</v>
      </c>
      <c r="D354" s="69" t="s">
        <v>17</v>
      </c>
      <c r="E354" s="6" t="str">
        <f>$G$2</f>
        <v>SG Sparta / KSG Berlin</v>
      </c>
      <c r="F354" s="6" t="str">
        <f>VLOOKUP(C354,Einzelwertung!V$5:W$49,2,0)</f>
        <v>Kegelbahn Michendorf</v>
      </c>
    </row>
    <row r="355" spans="1:6" x14ac:dyDescent="0.2">
      <c r="A355" s="69">
        <f>A354+1</f>
        <v>280</v>
      </c>
      <c r="B355" s="70">
        <f>B354</f>
        <v>45269</v>
      </c>
      <c r="C355" s="6" t="str">
        <f>$G$5</f>
        <v>SpG Adlershof / Lichtenberg 47</v>
      </c>
      <c r="D355" s="69" t="s">
        <v>17</v>
      </c>
      <c r="E355" s="6" t="str">
        <f>$G$4</f>
        <v>SG EBT / Eintracht Berlin</v>
      </c>
      <c r="F355" s="6" t="str">
        <f>VLOOKUP(C355,Einzelwertung!V$5:W$49,2,0)</f>
        <v>Kegelsportanlage "Völkerfreundschaft" Berlin</v>
      </c>
    </row>
    <row r="356" spans="1:6" x14ac:dyDescent="0.2">
      <c r="A356" s="69">
        <f>A355+1</f>
        <v>281</v>
      </c>
      <c r="B356" s="70">
        <f>B354</f>
        <v>45269</v>
      </c>
      <c r="C356" s="6" t="str">
        <f>$G$7</f>
        <v>KSV Pasewalk</v>
      </c>
      <c r="D356" s="69" t="s">
        <v>17</v>
      </c>
      <c r="E356" s="6" t="str">
        <f>$G$6</f>
        <v>SG Eberswalde</v>
      </c>
      <c r="F356" s="6" t="str">
        <f>VLOOKUP(C356,Einzelwertung!V$5:W$49,2,0)</f>
        <v>Kegelbahn des Neubrandenburger Kegelverein</v>
      </c>
    </row>
    <row r="357" spans="1:6" x14ac:dyDescent="0.2">
      <c r="A357" s="69">
        <f>A356+1</f>
        <v>282</v>
      </c>
      <c r="B357" s="70">
        <f>B354</f>
        <v>45269</v>
      </c>
      <c r="C357" s="6" t="str">
        <f>$G$9</f>
        <v>SG Greifswald / Wolgast</v>
      </c>
      <c r="D357" s="69" t="s">
        <v>17</v>
      </c>
      <c r="E357" s="6" t="str">
        <f>$G$8</f>
        <v>SV Blau-Weiß 76 Stavenhagen</v>
      </c>
      <c r="F357" s="6" t="str">
        <f>VLOOKUP(C357,Einzelwertung!V$5:W$49,2,0)</f>
        <v>Kegelbahn Greifswalder KV</v>
      </c>
    </row>
    <row r="358" spans="1:6" x14ac:dyDescent="0.2">
      <c r="F358" s="6"/>
    </row>
    <row r="359" spans="1:6" x14ac:dyDescent="0.2">
      <c r="A359" s="69">
        <f>A357+1</f>
        <v>283</v>
      </c>
      <c r="B359" s="70">
        <f>B354+1</f>
        <v>45270</v>
      </c>
      <c r="C359" s="6" t="str">
        <f>$G$2</f>
        <v>SG Sparta / KSG Berlin</v>
      </c>
      <c r="D359" s="69" t="s">
        <v>17</v>
      </c>
      <c r="E359" s="6" t="str">
        <f>$G$3</f>
        <v>SG Michendorf / Seddin</v>
      </c>
      <c r="F359" s="6" t="str">
        <f>VLOOKUP(C359,Einzelwertung!V$5:W$49,2,0)</f>
        <v>KSZ Hämmerlingstraße Berlin</v>
      </c>
    </row>
    <row r="360" spans="1:6" x14ac:dyDescent="0.2">
      <c r="A360" s="69">
        <f>A359+1</f>
        <v>284</v>
      </c>
      <c r="B360" s="70">
        <f>B359</f>
        <v>45270</v>
      </c>
      <c r="C360" s="6" t="str">
        <f>$G$4</f>
        <v>SG EBT / Eintracht Berlin</v>
      </c>
      <c r="D360" s="69" t="s">
        <v>17</v>
      </c>
      <c r="E360" s="6" t="str">
        <f>$G$5</f>
        <v>SpG Adlershof / Lichtenberg 47</v>
      </c>
      <c r="F360" s="6" t="str">
        <f>VLOOKUP(C360,Einzelwertung!V$5:W$49,2,0)</f>
        <v>Sportzentrum Friedrichshain Berlin</v>
      </c>
    </row>
    <row r="361" spans="1:6" x14ac:dyDescent="0.2">
      <c r="A361" s="69">
        <f>A360+1</f>
        <v>285</v>
      </c>
      <c r="B361" s="70">
        <f>B359</f>
        <v>45270</v>
      </c>
      <c r="C361" s="6" t="str">
        <f>$G$6</f>
        <v>SG Eberswalde</v>
      </c>
      <c r="D361" s="69" t="s">
        <v>17</v>
      </c>
      <c r="E361" s="6" t="str">
        <f>$G$7</f>
        <v>KSV Pasewalk</v>
      </c>
      <c r="F361" s="6" t="str">
        <f>VLOOKUP(C361,Einzelwertung!V$5:W$49,2,0)</f>
        <v>Eberswalder Westendstadion</v>
      </c>
    </row>
    <row r="362" spans="1:6" x14ac:dyDescent="0.2">
      <c r="A362" s="69">
        <f>A361+1</f>
        <v>286</v>
      </c>
      <c r="B362" s="70">
        <f>B359</f>
        <v>45270</v>
      </c>
      <c r="C362" s="6" t="str">
        <f>$G$8</f>
        <v>SV Blau-Weiß 76 Stavenhagen</v>
      </c>
      <c r="D362" s="69" t="s">
        <v>17</v>
      </c>
      <c r="E362" s="6" t="str">
        <f>$G$9</f>
        <v>SG Greifswald / Wolgast</v>
      </c>
      <c r="F362" s="6" t="str">
        <f>VLOOKUP(C362,Einzelwertung!V$5:W$49,2,0)</f>
        <v>Friedrich-Ludwig-Jahn-Halle Stavenhagen</v>
      </c>
    </row>
    <row r="363" spans="1:6" x14ac:dyDescent="0.2">
      <c r="F363" s="6"/>
    </row>
    <row r="364" spans="1:6" x14ac:dyDescent="0.2">
      <c r="A364" s="69">
        <f>A362+1</f>
        <v>287</v>
      </c>
      <c r="B364" s="70">
        <f>B294</f>
        <v>45297</v>
      </c>
      <c r="C364" s="6" t="str">
        <f>$G$4</f>
        <v>SG EBT / Eintracht Berlin</v>
      </c>
      <c r="D364" s="69" t="s">
        <v>17</v>
      </c>
      <c r="E364" s="6" t="str">
        <f>$G$2</f>
        <v>SG Sparta / KSG Berlin</v>
      </c>
      <c r="F364" s="6" t="str">
        <f>VLOOKUP(C364,Einzelwertung!V$5:W$49,2,0)</f>
        <v>Sportzentrum Friedrichshain Berlin</v>
      </c>
    </row>
    <row r="365" spans="1:6" x14ac:dyDescent="0.2">
      <c r="A365" s="69">
        <f>A364+1</f>
        <v>288</v>
      </c>
      <c r="B365" s="70">
        <f>B364</f>
        <v>45297</v>
      </c>
      <c r="C365" s="6" t="str">
        <f>$G$5</f>
        <v>SpG Adlershof / Lichtenberg 47</v>
      </c>
      <c r="D365" s="69" t="s">
        <v>17</v>
      </c>
      <c r="E365" s="6" t="str">
        <f>$G$3</f>
        <v>SG Michendorf / Seddin</v>
      </c>
      <c r="F365" s="6" t="str">
        <f>VLOOKUP(C365,Einzelwertung!V$5:W$49,2,0)</f>
        <v>Kegelsportanlage "Völkerfreundschaft" Berlin</v>
      </c>
    </row>
    <row r="366" spans="1:6" x14ac:dyDescent="0.2">
      <c r="A366" s="69">
        <f>A365+1</f>
        <v>289</v>
      </c>
      <c r="B366" s="70">
        <f>B364</f>
        <v>45297</v>
      </c>
      <c r="C366" s="6" t="str">
        <f>$G$8</f>
        <v>SV Blau-Weiß 76 Stavenhagen</v>
      </c>
      <c r="D366" s="69" t="s">
        <v>17</v>
      </c>
      <c r="E366" s="6" t="str">
        <f>$G$6</f>
        <v>SG Eberswalde</v>
      </c>
      <c r="F366" s="6" t="str">
        <f>VLOOKUP(C366,Einzelwertung!V$5:W$49,2,0)</f>
        <v>Friedrich-Ludwig-Jahn-Halle Stavenhagen</v>
      </c>
    </row>
    <row r="367" spans="1:6" x14ac:dyDescent="0.2">
      <c r="A367" s="69">
        <f>A366+1</f>
        <v>290</v>
      </c>
      <c r="B367" s="70">
        <f>B364</f>
        <v>45297</v>
      </c>
      <c r="C367" s="6" t="str">
        <f>$G$9</f>
        <v>SG Greifswald / Wolgast</v>
      </c>
      <c r="D367" s="69" t="s">
        <v>17</v>
      </c>
      <c r="E367" s="6" t="str">
        <f>$G$7</f>
        <v>KSV Pasewalk</v>
      </c>
      <c r="F367" s="6" t="str">
        <f>VLOOKUP(C367,Einzelwertung!V$5:W$49,2,0)</f>
        <v>Kegelbahn Greifswalder KV</v>
      </c>
    </row>
    <row r="368" spans="1:6" x14ac:dyDescent="0.2">
      <c r="F368" s="6"/>
    </row>
    <row r="369" spans="1:6" x14ac:dyDescent="0.2">
      <c r="A369" s="69">
        <f>A367+1</f>
        <v>291</v>
      </c>
      <c r="B369" s="70">
        <f>B364+1</f>
        <v>45298</v>
      </c>
      <c r="C369" s="6" t="str">
        <f>$G$5</f>
        <v>SpG Adlershof / Lichtenberg 47</v>
      </c>
      <c r="D369" s="69" t="s">
        <v>17</v>
      </c>
      <c r="E369" s="6" t="str">
        <f>$G$2</f>
        <v>SG Sparta / KSG Berlin</v>
      </c>
      <c r="F369" s="6" t="str">
        <f>VLOOKUP(C369,Einzelwertung!V$5:W$49,2,0)</f>
        <v>Kegelsportanlage "Völkerfreundschaft" Berlin</v>
      </c>
    </row>
    <row r="370" spans="1:6" x14ac:dyDescent="0.2">
      <c r="A370" s="69">
        <f>A369+1</f>
        <v>292</v>
      </c>
      <c r="B370" s="70">
        <f>B369</f>
        <v>45298</v>
      </c>
      <c r="C370" s="6" t="str">
        <f>$G$4</f>
        <v>SG EBT / Eintracht Berlin</v>
      </c>
      <c r="D370" s="69" t="s">
        <v>17</v>
      </c>
      <c r="E370" s="6" t="str">
        <f>$G$3</f>
        <v>SG Michendorf / Seddin</v>
      </c>
      <c r="F370" s="6" t="str">
        <f>VLOOKUP(C370,Einzelwertung!V$5:W$49,2,0)</f>
        <v>Sportzentrum Friedrichshain Berlin</v>
      </c>
    </row>
    <row r="371" spans="1:6" x14ac:dyDescent="0.2">
      <c r="A371" s="69">
        <f>A370+1</f>
        <v>293</v>
      </c>
      <c r="B371" s="70">
        <f>B369</f>
        <v>45298</v>
      </c>
      <c r="C371" s="6" t="str">
        <f>$G$8</f>
        <v>SV Blau-Weiß 76 Stavenhagen</v>
      </c>
      <c r="D371" s="69" t="s">
        <v>17</v>
      </c>
      <c r="E371" s="6" t="str">
        <f>$G$7</f>
        <v>KSV Pasewalk</v>
      </c>
      <c r="F371" s="6" t="str">
        <f>VLOOKUP(C371,Einzelwertung!V$5:W$49,2,0)</f>
        <v>Friedrich-Ludwig-Jahn-Halle Stavenhagen</v>
      </c>
    </row>
    <row r="372" spans="1:6" x14ac:dyDescent="0.2">
      <c r="A372" s="69">
        <f>A371+1</f>
        <v>294</v>
      </c>
      <c r="B372" s="70">
        <f>B369</f>
        <v>45298</v>
      </c>
      <c r="C372" s="6" t="str">
        <f>$G$9</f>
        <v>SG Greifswald / Wolgast</v>
      </c>
      <c r="D372" s="69" t="s">
        <v>17</v>
      </c>
      <c r="E372" s="6" t="str">
        <f>$G$6</f>
        <v>SG Eberswalde</v>
      </c>
      <c r="F372" s="6" t="str">
        <f>VLOOKUP(C372,Einzelwertung!V$5:W$49,2,0)</f>
        <v>Kegelbahn Greifswalder KV</v>
      </c>
    </row>
    <row r="373" spans="1:6" x14ac:dyDescent="0.2">
      <c r="F373" s="6"/>
    </row>
    <row r="374" spans="1:6" x14ac:dyDescent="0.2">
      <c r="A374" s="69">
        <f>A372+1</f>
        <v>295</v>
      </c>
      <c r="B374" s="70">
        <f>B304</f>
        <v>45325</v>
      </c>
      <c r="C374" s="6" t="str">
        <f>$G$2</f>
        <v>SG Sparta / KSG Berlin</v>
      </c>
      <c r="D374" s="69" t="s">
        <v>17</v>
      </c>
      <c r="E374" s="6" t="str">
        <f>$G$6</f>
        <v>SG Eberswalde</v>
      </c>
      <c r="F374" s="6" t="str">
        <f>VLOOKUP(C374,Einzelwertung!V$5:W$49,2,0)</f>
        <v>KSZ Hämmerlingstraße Berlin</v>
      </c>
    </row>
    <row r="375" spans="1:6" x14ac:dyDescent="0.2">
      <c r="A375" s="69">
        <f>A374+1</f>
        <v>296</v>
      </c>
      <c r="B375" s="70">
        <f>B374</f>
        <v>45325</v>
      </c>
      <c r="C375" s="6" t="str">
        <f>$G$3</f>
        <v>SG Michendorf / Seddin</v>
      </c>
      <c r="D375" s="69" t="s">
        <v>17</v>
      </c>
      <c r="E375" s="6" t="str">
        <f>$G$7</f>
        <v>KSV Pasewalk</v>
      </c>
      <c r="F375" s="6" t="str">
        <f>VLOOKUP(C375,Einzelwertung!V$5:W$49,2,0)</f>
        <v>Kegelbahn Michendorf</v>
      </c>
    </row>
    <row r="376" spans="1:6" x14ac:dyDescent="0.2">
      <c r="A376" s="69">
        <f>A375+1</f>
        <v>297</v>
      </c>
      <c r="B376" s="70">
        <f>B374</f>
        <v>45325</v>
      </c>
      <c r="C376" s="6" t="str">
        <f>$G$4</f>
        <v>SG EBT / Eintracht Berlin</v>
      </c>
      <c r="D376" s="69" t="s">
        <v>17</v>
      </c>
      <c r="E376" s="6" t="str">
        <f>$G$8</f>
        <v>SV Blau-Weiß 76 Stavenhagen</v>
      </c>
      <c r="F376" s="6" t="str">
        <f>VLOOKUP(C376,Einzelwertung!V$5:W$49,2,0)</f>
        <v>Sportzentrum Friedrichshain Berlin</v>
      </c>
    </row>
    <row r="377" spans="1:6" x14ac:dyDescent="0.2">
      <c r="A377" s="69">
        <f>A376+1</f>
        <v>298</v>
      </c>
      <c r="B377" s="70">
        <f>B374</f>
        <v>45325</v>
      </c>
      <c r="C377" s="6" t="str">
        <f>$G$5</f>
        <v>SpG Adlershof / Lichtenberg 47</v>
      </c>
      <c r="D377" s="69" t="s">
        <v>17</v>
      </c>
      <c r="E377" s="6" t="str">
        <f>$G$9</f>
        <v>SG Greifswald / Wolgast</v>
      </c>
      <c r="F377" s="6" t="str">
        <f>VLOOKUP(C377,Einzelwertung!V$5:W$49,2,0)</f>
        <v>Kegelsportanlage "Völkerfreundschaft" Berlin</v>
      </c>
    </row>
    <row r="378" spans="1:6" ht="15" x14ac:dyDescent="0.2">
      <c r="A378" s="73"/>
      <c r="B378" s="73"/>
      <c r="F378" s="6"/>
    </row>
    <row r="379" spans="1:6" x14ac:dyDescent="0.2">
      <c r="A379" s="69">
        <f>A377+1</f>
        <v>299</v>
      </c>
      <c r="B379" s="70">
        <f>B374+1</f>
        <v>45326</v>
      </c>
      <c r="C379" s="6" t="str">
        <f>$G$2</f>
        <v>SG Sparta / KSG Berlin</v>
      </c>
      <c r="D379" s="69" t="s">
        <v>17</v>
      </c>
      <c r="E379" s="6" t="str">
        <f>$G$7</f>
        <v>KSV Pasewalk</v>
      </c>
      <c r="F379" s="6" t="str">
        <f>VLOOKUP(C379,Einzelwertung!V$5:W$49,2,0)</f>
        <v>KSZ Hämmerlingstraße Berlin</v>
      </c>
    </row>
    <row r="380" spans="1:6" x14ac:dyDescent="0.2">
      <c r="A380" s="69">
        <f>A379+1</f>
        <v>300</v>
      </c>
      <c r="B380" s="70">
        <f>B379</f>
        <v>45326</v>
      </c>
      <c r="C380" s="6" t="str">
        <f>$G$3</f>
        <v>SG Michendorf / Seddin</v>
      </c>
      <c r="D380" s="69" t="s">
        <v>17</v>
      </c>
      <c r="E380" s="6" t="str">
        <f>$G$6</f>
        <v>SG Eberswalde</v>
      </c>
      <c r="F380" s="6" t="str">
        <f>VLOOKUP(C380,Einzelwertung!V$5:W$49,2,0)</f>
        <v>Kegelbahn Michendorf</v>
      </c>
    </row>
    <row r="381" spans="1:6" x14ac:dyDescent="0.2">
      <c r="A381" s="69">
        <f>A380+1</f>
        <v>301</v>
      </c>
      <c r="B381" s="70">
        <f>B379</f>
        <v>45326</v>
      </c>
      <c r="C381" s="6" t="str">
        <f>$G$4</f>
        <v>SG EBT / Eintracht Berlin</v>
      </c>
      <c r="D381" s="69" t="s">
        <v>17</v>
      </c>
      <c r="E381" s="6" t="str">
        <f>$G$9</f>
        <v>SG Greifswald / Wolgast</v>
      </c>
      <c r="F381" s="6" t="str">
        <f>VLOOKUP(C381,Einzelwertung!V$5:W$49,2,0)</f>
        <v>Sportzentrum Friedrichshain Berlin</v>
      </c>
    </row>
    <row r="382" spans="1:6" x14ac:dyDescent="0.2">
      <c r="A382" s="69">
        <f>A381+1</f>
        <v>302</v>
      </c>
      <c r="B382" s="70">
        <f>B379</f>
        <v>45326</v>
      </c>
      <c r="C382" s="6" t="str">
        <f>$G$5</f>
        <v>SpG Adlershof / Lichtenberg 47</v>
      </c>
      <c r="D382" s="69" t="s">
        <v>17</v>
      </c>
      <c r="E382" s="6" t="str">
        <f>$G$8</f>
        <v>SV Blau-Weiß 76 Stavenhagen</v>
      </c>
      <c r="F382" s="6" t="str">
        <f>VLOOKUP(C382,Einzelwertung!V$5:W$49,2,0)</f>
        <v>Kegelsportanlage "Völkerfreundschaft" Berlin</v>
      </c>
    </row>
    <row r="383" spans="1:6" x14ac:dyDescent="0.2">
      <c r="F383" s="6"/>
    </row>
    <row r="384" spans="1:6" x14ac:dyDescent="0.2">
      <c r="A384" s="69">
        <f>A382+1</f>
        <v>303</v>
      </c>
      <c r="B384" s="70">
        <f>B314</f>
        <v>45360</v>
      </c>
      <c r="C384" s="6" t="str">
        <f>$G$8</f>
        <v>SV Blau-Weiß 76 Stavenhagen</v>
      </c>
      <c r="D384" s="69" t="s">
        <v>17</v>
      </c>
      <c r="E384" s="6" t="str">
        <f>$G$2</f>
        <v>SG Sparta / KSG Berlin</v>
      </c>
      <c r="F384" s="6" t="str">
        <f>VLOOKUP(C384,Einzelwertung!V$5:W$49,2,0)</f>
        <v>Friedrich-Ludwig-Jahn-Halle Stavenhagen</v>
      </c>
    </row>
    <row r="385" spans="1:6" x14ac:dyDescent="0.2">
      <c r="A385" s="69">
        <f>A384+1</f>
        <v>304</v>
      </c>
      <c r="B385" s="70">
        <f>B384</f>
        <v>45360</v>
      </c>
      <c r="C385" s="6" t="str">
        <f>$G$9</f>
        <v>SG Greifswald / Wolgast</v>
      </c>
      <c r="D385" s="69" t="s">
        <v>17</v>
      </c>
      <c r="E385" s="6" t="str">
        <f>$G$3</f>
        <v>SG Michendorf / Seddin</v>
      </c>
      <c r="F385" s="6" t="str">
        <f>VLOOKUP(C385,Einzelwertung!V$5:W$49,2,0)</f>
        <v>Kegelbahn Greifswalder KV</v>
      </c>
    </row>
    <row r="386" spans="1:6" x14ac:dyDescent="0.2">
      <c r="A386" s="69">
        <f>A385+1</f>
        <v>305</v>
      </c>
      <c r="B386" s="70">
        <f>B384</f>
        <v>45360</v>
      </c>
      <c r="C386" s="6" t="str">
        <f>$G$6</f>
        <v>SG Eberswalde</v>
      </c>
      <c r="D386" s="69" t="s">
        <v>17</v>
      </c>
      <c r="E386" s="6" t="str">
        <f>$G$4</f>
        <v>SG EBT / Eintracht Berlin</v>
      </c>
      <c r="F386" s="6" t="str">
        <f>VLOOKUP(C386,Einzelwertung!V$5:W$49,2,0)</f>
        <v>Eberswalder Westendstadion</v>
      </c>
    </row>
    <row r="387" spans="1:6" x14ac:dyDescent="0.2">
      <c r="A387" s="69">
        <f>A386+1</f>
        <v>306</v>
      </c>
      <c r="B387" s="70">
        <f>B384</f>
        <v>45360</v>
      </c>
      <c r="C387" s="6" t="str">
        <f>$G$7</f>
        <v>KSV Pasewalk</v>
      </c>
      <c r="D387" s="69" t="s">
        <v>17</v>
      </c>
      <c r="E387" s="6" t="str">
        <f>$G$5</f>
        <v>SpG Adlershof / Lichtenberg 47</v>
      </c>
      <c r="F387" s="6" t="str">
        <f>VLOOKUP(C387,Einzelwertung!V$5:W$49,2,0)</f>
        <v>Kegelbahn des Neubrandenburger Kegelverein</v>
      </c>
    </row>
    <row r="388" spans="1:6" x14ac:dyDescent="0.2">
      <c r="F388" s="6"/>
    </row>
    <row r="389" spans="1:6" x14ac:dyDescent="0.2">
      <c r="A389" s="69">
        <f>A387+1</f>
        <v>307</v>
      </c>
      <c r="B389" s="70">
        <f>B384+1</f>
        <v>45361</v>
      </c>
      <c r="C389" s="6" t="str">
        <f>$G$9</f>
        <v>SG Greifswald / Wolgast</v>
      </c>
      <c r="D389" s="69" t="s">
        <v>17</v>
      </c>
      <c r="E389" s="6" t="str">
        <f>$G$2</f>
        <v>SG Sparta / KSG Berlin</v>
      </c>
      <c r="F389" s="6" t="str">
        <f>VLOOKUP(C389,Einzelwertung!V$5:W$49,2,0)</f>
        <v>Kegelbahn Greifswalder KV</v>
      </c>
    </row>
    <row r="390" spans="1:6" x14ac:dyDescent="0.2">
      <c r="A390" s="69">
        <f>A389+1</f>
        <v>308</v>
      </c>
      <c r="B390" s="70">
        <f>B389</f>
        <v>45361</v>
      </c>
      <c r="C390" s="6" t="str">
        <f>$G$8</f>
        <v>SV Blau-Weiß 76 Stavenhagen</v>
      </c>
      <c r="D390" s="69" t="s">
        <v>17</v>
      </c>
      <c r="E390" s="6" t="str">
        <f>$G$3</f>
        <v>SG Michendorf / Seddin</v>
      </c>
      <c r="F390" s="6" t="str">
        <f>VLOOKUP(C390,Einzelwertung!V$5:W$49,2,0)</f>
        <v>Friedrich-Ludwig-Jahn-Halle Stavenhagen</v>
      </c>
    </row>
    <row r="391" spans="1:6" x14ac:dyDescent="0.2">
      <c r="A391" s="69">
        <f>A390+1</f>
        <v>309</v>
      </c>
      <c r="B391" s="70">
        <f>B389</f>
        <v>45361</v>
      </c>
      <c r="C391" s="6" t="str">
        <f>$G$7</f>
        <v>KSV Pasewalk</v>
      </c>
      <c r="D391" s="69" t="s">
        <v>17</v>
      </c>
      <c r="E391" s="6" t="str">
        <f>$G$4</f>
        <v>SG EBT / Eintracht Berlin</v>
      </c>
      <c r="F391" s="6" t="str">
        <f>VLOOKUP(C391,Einzelwertung!V$5:W$49,2,0)</f>
        <v>Kegelbahn des Neubrandenburger Kegelverein</v>
      </c>
    </row>
    <row r="392" spans="1:6" x14ac:dyDescent="0.2">
      <c r="A392" s="69">
        <f>A391+1</f>
        <v>310</v>
      </c>
      <c r="B392" s="70">
        <f>B389</f>
        <v>45361</v>
      </c>
      <c r="C392" s="6" t="str">
        <f>$G$6</f>
        <v>SG Eberswalde</v>
      </c>
      <c r="D392" s="69" t="s">
        <v>17</v>
      </c>
      <c r="E392" s="6" t="str">
        <f>$G$5</f>
        <v>SpG Adlershof / Lichtenberg 47</v>
      </c>
      <c r="F392" s="6" t="str">
        <f>VLOOKUP(C392,Einzelwertung!V$5:W$49,2,0)</f>
        <v>Eberswalder Westendstadion</v>
      </c>
    </row>
    <row r="393" spans="1:6" x14ac:dyDescent="0.2">
      <c r="F393" s="6"/>
    </row>
    <row r="394" spans="1:6" x14ac:dyDescent="0.2">
      <c r="A394" s="69">
        <f>A392+1</f>
        <v>311</v>
      </c>
      <c r="B394" s="70">
        <f>B254</f>
        <v>45178</v>
      </c>
      <c r="C394" s="71" t="str">
        <f>$H$6</f>
        <v>1. KSV Vetschau</v>
      </c>
      <c r="D394" s="72" t="s">
        <v>17</v>
      </c>
      <c r="E394" s="71" t="str">
        <f>$H$2</f>
        <v>SG Union Oberschöneweide II</v>
      </c>
      <c r="F394" s="6" t="str">
        <f>VLOOKUP(C394,Einzelwertung!V$5:W$49,2,0)</f>
        <v>Gaststätte "Goldener Stern" Vetschau</v>
      </c>
    </row>
    <row r="395" spans="1:6" x14ac:dyDescent="0.2">
      <c r="A395" s="69">
        <f>A394+1</f>
        <v>312</v>
      </c>
      <c r="B395" s="70">
        <f>B394</f>
        <v>45178</v>
      </c>
      <c r="C395" s="6" t="str">
        <f>$H$7</f>
        <v>MPSV 95 Königs Wusterhausen</v>
      </c>
      <c r="D395" s="69" t="s">
        <v>17</v>
      </c>
      <c r="E395" s="6" t="str">
        <f>$H$3</f>
        <v>KC Rot-Weiss Seyda</v>
      </c>
      <c r="F395" s="6" t="str">
        <f>VLOOKUP(C395,Einzelwertung!V$5:W$49,2,0)</f>
        <v>Stadion der Freundschaft Königs Wusterhausen</v>
      </c>
    </row>
    <row r="396" spans="1:6" x14ac:dyDescent="0.2">
      <c r="A396" s="69">
        <f>A395+1</f>
        <v>313</v>
      </c>
      <c r="B396" s="70">
        <f>B394</f>
        <v>45178</v>
      </c>
      <c r="C396" s="6" t="str">
        <f>$H$8</f>
        <v>SpG Prignitz</v>
      </c>
      <c r="D396" s="69" t="s">
        <v>17</v>
      </c>
      <c r="E396" s="6" t="str">
        <f>$H$4</f>
        <v>SG Derenburg / Ilsenburg</v>
      </c>
      <c r="F396" s="6" t="str">
        <f>VLOOKUP(C396,Einzelwertung!V$5:W$49,2,0)</f>
        <v>"Der Kuhstall auf Dahses Hof" Karstädt</v>
      </c>
    </row>
    <row r="397" spans="1:6" x14ac:dyDescent="0.2">
      <c r="A397" s="69">
        <f>A396+1</f>
        <v>314</v>
      </c>
      <c r="B397" s="70">
        <f>B394</f>
        <v>45178</v>
      </c>
      <c r="C397" s="6" t="str">
        <f>$H$9</f>
        <v>SV Binde</v>
      </c>
      <c r="D397" s="69" t="s">
        <v>17</v>
      </c>
      <c r="E397" s="6" t="str">
        <f>$H$5</f>
        <v>Stendaler KC</v>
      </c>
      <c r="F397" s="6" t="str">
        <f>VLOOKUP(C397,Einzelwertung!V$5:W$49,2,0)</f>
        <v>Kegelhalle Arendsee</v>
      </c>
    </row>
    <row r="398" spans="1:6" x14ac:dyDescent="0.2">
      <c r="F398" s="6"/>
    </row>
    <row r="399" spans="1:6" x14ac:dyDescent="0.2">
      <c r="A399" s="69">
        <f>A397+1</f>
        <v>315</v>
      </c>
      <c r="B399" s="70">
        <f>B394+1</f>
        <v>45179</v>
      </c>
      <c r="C399" s="6" t="str">
        <f>$H$7</f>
        <v>MPSV 95 Königs Wusterhausen</v>
      </c>
      <c r="D399" s="69" t="s">
        <v>17</v>
      </c>
      <c r="E399" s="6" t="str">
        <f>$H$2</f>
        <v>SG Union Oberschöneweide II</v>
      </c>
      <c r="F399" s="6" t="str">
        <f>VLOOKUP(C399,Einzelwertung!V$5:W$49,2,0)</f>
        <v>Stadion der Freundschaft Königs Wusterhausen</v>
      </c>
    </row>
    <row r="400" spans="1:6" x14ac:dyDescent="0.2">
      <c r="A400" s="69">
        <f>A399+1</f>
        <v>316</v>
      </c>
      <c r="B400" s="70">
        <f>B399</f>
        <v>45179</v>
      </c>
      <c r="C400" s="6" t="str">
        <f>$H$6</f>
        <v>1. KSV Vetschau</v>
      </c>
      <c r="D400" s="69" t="s">
        <v>17</v>
      </c>
      <c r="E400" s="6" t="str">
        <f>$H$3</f>
        <v>KC Rot-Weiss Seyda</v>
      </c>
      <c r="F400" s="6" t="str">
        <f>VLOOKUP(C400,Einzelwertung!V$5:W$49,2,0)</f>
        <v>Gaststätte "Goldener Stern" Vetschau</v>
      </c>
    </row>
    <row r="401" spans="1:6" x14ac:dyDescent="0.2">
      <c r="A401" s="69">
        <f>A400+1</f>
        <v>317</v>
      </c>
      <c r="B401" s="70">
        <f>B399</f>
        <v>45179</v>
      </c>
      <c r="C401" s="6" t="str">
        <f>$H$9</f>
        <v>SV Binde</v>
      </c>
      <c r="D401" s="69" t="s">
        <v>17</v>
      </c>
      <c r="E401" s="6" t="str">
        <f>$H$4</f>
        <v>SG Derenburg / Ilsenburg</v>
      </c>
      <c r="F401" s="6" t="str">
        <f>VLOOKUP(C401,Einzelwertung!V$5:W$49,2,0)</f>
        <v>Kegelhalle Arendsee</v>
      </c>
    </row>
    <row r="402" spans="1:6" x14ac:dyDescent="0.2">
      <c r="A402" s="69">
        <f>A401+1</f>
        <v>318</v>
      </c>
      <c r="B402" s="70">
        <f>B399</f>
        <v>45179</v>
      </c>
      <c r="C402" s="6" t="str">
        <f>$H$8</f>
        <v>SpG Prignitz</v>
      </c>
      <c r="D402" s="69" t="s">
        <v>17</v>
      </c>
      <c r="E402" s="6" t="str">
        <f>$H$5</f>
        <v>Stendaler KC</v>
      </c>
      <c r="F402" s="6" t="str">
        <f>VLOOKUP(C402,Einzelwertung!V$5:W$49,2,0)</f>
        <v>"Der Kuhstall auf Dahses Hof" Karstädt</v>
      </c>
    </row>
    <row r="403" spans="1:6" x14ac:dyDescent="0.2">
      <c r="F403" s="6"/>
    </row>
    <row r="404" spans="1:6" x14ac:dyDescent="0.2">
      <c r="A404" s="69">
        <f>A402+1</f>
        <v>319</v>
      </c>
      <c r="B404" s="70">
        <f>B264</f>
        <v>45206</v>
      </c>
      <c r="C404" s="6" t="str">
        <f>$H$2</f>
        <v>SG Union Oberschöneweide II</v>
      </c>
      <c r="D404" s="69" t="s">
        <v>17</v>
      </c>
      <c r="E404" s="6" t="str">
        <f>$H$8</f>
        <v>SpG Prignitz</v>
      </c>
      <c r="F404" s="6" t="str">
        <f>VLOOKUP(C404,Einzelwertung!V$5:W$49,2,0)</f>
        <v>KSZ Hämmerlingstraße Berlin</v>
      </c>
    </row>
    <row r="405" spans="1:6" x14ac:dyDescent="0.2">
      <c r="A405" s="69">
        <f>A404+1</f>
        <v>320</v>
      </c>
      <c r="B405" s="70">
        <f>B404</f>
        <v>45206</v>
      </c>
      <c r="C405" s="6" t="str">
        <f>$H$3</f>
        <v>KC Rot-Weiss Seyda</v>
      </c>
      <c r="D405" s="69" t="s">
        <v>17</v>
      </c>
      <c r="E405" s="6" t="str">
        <f>$H$9</f>
        <v>SV Binde</v>
      </c>
      <c r="F405" s="6" t="str">
        <f>VLOOKUP(C405,Einzelwertung!V$5:W$49,2,0)</f>
        <v>Kegelbahn Treuenbrietzen</v>
      </c>
    </row>
    <row r="406" spans="1:6" x14ac:dyDescent="0.2">
      <c r="A406" s="69">
        <f>A405+1</f>
        <v>321</v>
      </c>
      <c r="B406" s="70">
        <f>B404</f>
        <v>45206</v>
      </c>
      <c r="C406" s="6" t="str">
        <f>$H$4</f>
        <v>SG Derenburg / Ilsenburg</v>
      </c>
      <c r="D406" s="69" t="s">
        <v>17</v>
      </c>
      <c r="E406" s="6" t="str">
        <f>$H$6</f>
        <v>1. KSV Vetschau</v>
      </c>
      <c r="F406" s="6" t="str">
        <f>VLOOKUP(C406,Einzelwertung!V$5:W$49,2,0)</f>
        <v>Rudi Steckel Kegelhalle Derenburg</v>
      </c>
    </row>
    <row r="407" spans="1:6" x14ac:dyDescent="0.2">
      <c r="A407" s="69">
        <f>A406+1</f>
        <v>322</v>
      </c>
      <c r="B407" s="70">
        <f>B404</f>
        <v>45206</v>
      </c>
      <c r="C407" s="6" t="str">
        <f>$H$5</f>
        <v>Stendaler KC</v>
      </c>
      <c r="D407" s="69" t="s">
        <v>17</v>
      </c>
      <c r="E407" s="6" t="str">
        <f>$H$7</f>
        <v>MPSV 95 Königs Wusterhausen</v>
      </c>
      <c r="F407" s="6" t="str">
        <f>VLOOKUP(C407,Einzelwertung!V$5:W$49,2,0)</f>
        <v>Sporthalle Haferbreiter Weg Stendal</v>
      </c>
    </row>
    <row r="408" spans="1:6" ht="15" x14ac:dyDescent="0.2">
      <c r="C408" s="74"/>
      <c r="F408" s="6"/>
    </row>
    <row r="409" spans="1:6" x14ac:dyDescent="0.2">
      <c r="A409" s="69">
        <f>A407+1</f>
        <v>323</v>
      </c>
      <c r="B409" s="70">
        <f>B404+1</f>
        <v>45207</v>
      </c>
      <c r="C409" s="6" t="str">
        <f>$H$2</f>
        <v>SG Union Oberschöneweide II</v>
      </c>
      <c r="D409" s="69" t="s">
        <v>17</v>
      </c>
      <c r="E409" s="6" t="str">
        <f>$H$9</f>
        <v>SV Binde</v>
      </c>
      <c r="F409" s="6" t="str">
        <f>VLOOKUP(C409,Einzelwertung!V$5:W$49,2,0)</f>
        <v>KSZ Hämmerlingstraße Berlin</v>
      </c>
    </row>
    <row r="410" spans="1:6" x14ac:dyDescent="0.2">
      <c r="A410" s="69">
        <f>A409+1</f>
        <v>324</v>
      </c>
      <c r="B410" s="70">
        <f>B409</f>
        <v>45207</v>
      </c>
      <c r="C410" s="6" t="str">
        <f>$H$3</f>
        <v>KC Rot-Weiss Seyda</v>
      </c>
      <c r="D410" s="69" t="s">
        <v>17</v>
      </c>
      <c r="E410" s="6" t="str">
        <f>$H$8</f>
        <v>SpG Prignitz</v>
      </c>
      <c r="F410" s="6" t="str">
        <f>VLOOKUP(C410,Einzelwertung!V$5:W$49,2,0)</f>
        <v>Kegelbahn Treuenbrietzen</v>
      </c>
    </row>
    <row r="411" spans="1:6" x14ac:dyDescent="0.2">
      <c r="A411" s="69">
        <f>A410+1</f>
        <v>325</v>
      </c>
      <c r="B411" s="70">
        <f>B409</f>
        <v>45207</v>
      </c>
      <c r="C411" s="6" t="str">
        <f>$H$4</f>
        <v>SG Derenburg / Ilsenburg</v>
      </c>
      <c r="D411" s="69" t="s">
        <v>17</v>
      </c>
      <c r="E411" s="6" t="str">
        <f>$H$7</f>
        <v>MPSV 95 Königs Wusterhausen</v>
      </c>
      <c r="F411" s="6" t="str">
        <f>VLOOKUP(C411,Einzelwertung!V$5:W$49,2,0)</f>
        <v>Rudi Steckel Kegelhalle Derenburg</v>
      </c>
    </row>
    <row r="412" spans="1:6" x14ac:dyDescent="0.2">
      <c r="A412" s="69">
        <f>A411+1</f>
        <v>326</v>
      </c>
      <c r="B412" s="70">
        <f>B409</f>
        <v>45207</v>
      </c>
      <c r="C412" s="6" t="str">
        <f>$H$5</f>
        <v>Stendaler KC</v>
      </c>
      <c r="D412" s="69" t="s">
        <v>17</v>
      </c>
      <c r="E412" s="6" t="str">
        <f>$H$6</f>
        <v>1. KSV Vetschau</v>
      </c>
      <c r="F412" s="6" t="str">
        <f>VLOOKUP(C412,Einzelwertung!V$5:W$49,2,0)</f>
        <v>Sporthalle Haferbreiter Weg Stendal</v>
      </c>
    </row>
    <row r="413" spans="1:6" x14ac:dyDescent="0.2">
      <c r="F413" s="6"/>
    </row>
    <row r="414" spans="1:6" x14ac:dyDescent="0.2">
      <c r="A414" s="69">
        <f>A412+1</f>
        <v>327</v>
      </c>
      <c r="B414" s="70">
        <f>B274</f>
        <v>45234</v>
      </c>
      <c r="C414" s="6" t="str">
        <f>$H$2</f>
        <v>SG Union Oberschöneweide II</v>
      </c>
      <c r="D414" s="69" t="s">
        <v>17</v>
      </c>
      <c r="E414" s="6" t="str">
        <f>$H$4</f>
        <v>SG Derenburg / Ilsenburg</v>
      </c>
      <c r="F414" s="6" t="str">
        <f>VLOOKUP(C414,Einzelwertung!V$5:W$49,2,0)</f>
        <v>KSZ Hämmerlingstraße Berlin</v>
      </c>
    </row>
    <row r="415" spans="1:6" x14ac:dyDescent="0.2">
      <c r="A415" s="69">
        <f>A414+1</f>
        <v>328</v>
      </c>
      <c r="B415" s="70">
        <f>B414</f>
        <v>45234</v>
      </c>
      <c r="C415" s="6" t="str">
        <f>$H$3</f>
        <v>KC Rot-Weiss Seyda</v>
      </c>
      <c r="D415" s="69" t="s">
        <v>17</v>
      </c>
      <c r="E415" s="6" t="str">
        <f>$H$5</f>
        <v>Stendaler KC</v>
      </c>
      <c r="F415" s="6" t="str">
        <f>VLOOKUP(C415,Einzelwertung!V$5:W$49,2,0)</f>
        <v>Kegelbahn Treuenbrietzen</v>
      </c>
    </row>
    <row r="416" spans="1:6" x14ac:dyDescent="0.2">
      <c r="A416" s="69">
        <f>A415+1</f>
        <v>329</v>
      </c>
      <c r="B416" s="70">
        <f>B414</f>
        <v>45234</v>
      </c>
      <c r="C416" s="6" t="str">
        <f>$H$6</f>
        <v>1. KSV Vetschau</v>
      </c>
      <c r="D416" s="69" t="s">
        <v>17</v>
      </c>
      <c r="E416" s="6" t="str">
        <f>$H$8</f>
        <v>SpG Prignitz</v>
      </c>
      <c r="F416" s="6" t="str">
        <f>VLOOKUP(C416,Einzelwertung!V$5:W$49,2,0)</f>
        <v>Gaststätte "Goldener Stern" Vetschau</v>
      </c>
    </row>
    <row r="417" spans="1:6" x14ac:dyDescent="0.2">
      <c r="A417" s="69">
        <f>A416+1</f>
        <v>330</v>
      </c>
      <c r="B417" s="70">
        <f>B414</f>
        <v>45234</v>
      </c>
      <c r="C417" s="6" t="str">
        <f>$H$7</f>
        <v>MPSV 95 Königs Wusterhausen</v>
      </c>
      <c r="D417" s="69" t="s">
        <v>17</v>
      </c>
      <c r="E417" s="6" t="str">
        <f>$H$9</f>
        <v>SV Binde</v>
      </c>
      <c r="F417" s="6" t="str">
        <f>VLOOKUP(C417,Einzelwertung!V$5:W$49,2,0)</f>
        <v>Stadion der Freundschaft Königs Wusterhausen</v>
      </c>
    </row>
    <row r="418" spans="1:6" x14ac:dyDescent="0.2">
      <c r="F418" s="6"/>
    </row>
    <row r="419" spans="1:6" x14ac:dyDescent="0.2">
      <c r="A419" s="69">
        <f>A417+1</f>
        <v>331</v>
      </c>
      <c r="B419" s="70">
        <f>B414+1</f>
        <v>45235</v>
      </c>
      <c r="C419" s="6" t="str">
        <f>$H$2</f>
        <v>SG Union Oberschöneweide II</v>
      </c>
      <c r="D419" s="69" t="s">
        <v>17</v>
      </c>
      <c r="E419" s="6" t="str">
        <f>$H$5</f>
        <v>Stendaler KC</v>
      </c>
      <c r="F419" s="6" t="str">
        <f>VLOOKUP(C419,Einzelwertung!V$5:W$49,2,0)</f>
        <v>KSZ Hämmerlingstraße Berlin</v>
      </c>
    </row>
    <row r="420" spans="1:6" x14ac:dyDescent="0.2">
      <c r="A420" s="69">
        <f>A419+1</f>
        <v>332</v>
      </c>
      <c r="B420" s="70">
        <f>B419</f>
        <v>45235</v>
      </c>
      <c r="C420" s="6" t="str">
        <f>$H$3</f>
        <v>KC Rot-Weiss Seyda</v>
      </c>
      <c r="D420" s="69" t="s">
        <v>17</v>
      </c>
      <c r="E420" s="6" t="str">
        <f>$H$4</f>
        <v>SG Derenburg / Ilsenburg</v>
      </c>
      <c r="F420" s="6" t="str">
        <f>VLOOKUP(C420,Einzelwertung!V$5:W$49,2,0)</f>
        <v>Kegelbahn Treuenbrietzen</v>
      </c>
    </row>
    <row r="421" spans="1:6" x14ac:dyDescent="0.2">
      <c r="A421" s="69">
        <f>A420+1</f>
        <v>333</v>
      </c>
      <c r="B421" s="70">
        <f>B419</f>
        <v>45235</v>
      </c>
      <c r="C421" s="6" t="str">
        <f>$H$6</f>
        <v>1. KSV Vetschau</v>
      </c>
      <c r="D421" s="69" t="s">
        <v>17</v>
      </c>
      <c r="E421" s="6" t="str">
        <f>$H$9</f>
        <v>SV Binde</v>
      </c>
      <c r="F421" s="6" t="str">
        <f>VLOOKUP(C421,Einzelwertung!V$5:W$49,2,0)</f>
        <v>Gaststätte "Goldener Stern" Vetschau</v>
      </c>
    </row>
    <row r="422" spans="1:6" x14ac:dyDescent="0.2">
      <c r="A422" s="69">
        <f>A421+1</f>
        <v>334</v>
      </c>
      <c r="B422" s="70">
        <f>B419</f>
        <v>45235</v>
      </c>
      <c r="C422" s="6" t="str">
        <f>$H$7</f>
        <v>MPSV 95 Königs Wusterhausen</v>
      </c>
      <c r="D422" s="69" t="s">
        <v>17</v>
      </c>
      <c r="E422" s="6" t="str">
        <f>$H$8</f>
        <v>SpG Prignitz</v>
      </c>
      <c r="F422" s="6" t="str">
        <f>VLOOKUP(C422,Einzelwertung!V$5:W$49,2,0)</f>
        <v>Stadion der Freundschaft Königs Wusterhausen</v>
      </c>
    </row>
    <row r="423" spans="1:6" x14ac:dyDescent="0.2">
      <c r="F423" s="6"/>
    </row>
    <row r="424" spans="1:6" x14ac:dyDescent="0.2">
      <c r="A424" s="69">
        <f>A422+1</f>
        <v>335</v>
      </c>
      <c r="B424" s="70">
        <f>B284</f>
        <v>45269</v>
      </c>
      <c r="C424" s="6" t="str">
        <f>$H$3</f>
        <v>KC Rot-Weiss Seyda</v>
      </c>
      <c r="D424" s="69" t="s">
        <v>17</v>
      </c>
      <c r="E424" s="6" t="str">
        <f>$H$2</f>
        <v>SG Union Oberschöneweide II</v>
      </c>
      <c r="F424" s="6" t="str">
        <f>VLOOKUP(C424,Einzelwertung!V$5:W$49,2,0)</f>
        <v>Kegelbahn Treuenbrietzen</v>
      </c>
    </row>
    <row r="425" spans="1:6" x14ac:dyDescent="0.2">
      <c r="A425" s="69">
        <f>A424+1</f>
        <v>336</v>
      </c>
      <c r="B425" s="70">
        <f>B424</f>
        <v>45269</v>
      </c>
      <c r="C425" s="6" t="str">
        <f>$H$5</f>
        <v>Stendaler KC</v>
      </c>
      <c r="D425" s="69" t="s">
        <v>17</v>
      </c>
      <c r="E425" s="6" t="str">
        <f>$H$4</f>
        <v>SG Derenburg / Ilsenburg</v>
      </c>
      <c r="F425" s="6" t="str">
        <f>VLOOKUP(C425,Einzelwertung!V$5:W$49,2,0)</f>
        <v>Sporthalle Haferbreiter Weg Stendal</v>
      </c>
    </row>
    <row r="426" spans="1:6" x14ac:dyDescent="0.2">
      <c r="A426" s="69">
        <f>A425+1</f>
        <v>337</v>
      </c>
      <c r="B426" s="70">
        <f>B424</f>
        <v>45269</v>
      </c>
      <c r="C426" s="6" t="str">
        <f>$H$7</f>
        <v>MPSV 95 Königs Wusterhausen</v>
      </c>
      <c r="D426" s="69" t="s">
        <v>17</v>
      </c>
      <c r="E426" s="6" t="str">
        <f>$H$6</f>
        <v>1. KSV Vetschau</v>
      </c>
      <c r="F426" s="6" t="str">
        <f>VLOOKUP(C426,Einzelwertung!V$5:W$49,2,0)</f>
        <v>Stadion der Freundschaft Königs Wusterhausen</v>
      </c>
    </row>
    <row r="427" spans="1:6" x14ac:dyDescent="0.2">
      <c r="A427" s="69">
        <f>A426+1</f>
        <v>338</v>
      </c>
      <c r="B427" s="70">
        <f>B424</f>
        <v>45269</v>
      </c>
      <c r="C427" s="6" t="str">
        <f>$H$9</f>
        <v>SV Binde</v>
      </c>
      <c r="D427" s="69" t="s">
        <v>17</v>
      </c>
      <c r="E427" s="6" t="str">
        <f>$H$8</f>
        <v>SpG Prignitz</v>
      </c>
      <c r="F427" s="6" t="str">
        <f>VLOOKUP(C427,Einzelwertung!V$5:W$49,2,0)</f>
        <v>Kegelhalle Arendsee</v>
      </c>
    </row>
    <row r="428" spans="1:6" x14ac:dyDescent="0.2">
      <c r="F428" s="6"/>
    </row>
    <row r="429" spans="1:6" x14ac:dyDescent="0.2">
      <c r="A429" s="69">
        <f>A427+1</f>
        <v>339</v>
      </c>
      <c r="B429" s="70">
        <f>B424+1</f>
        <v>45270</v>
      </c>
      <c r="C429" s="6" t="str">
        <f>$H$2</f>
        <v>SG Union Oberschöneweide II</v>
      </c>
      <c r="D429" s="69" t="s">
        <v>17</v>
      </c>
      <c r="E429" s="6" t="str">
        <f>$H$3</f>
        <v>KC Rot-Weiss Seyda</v>
      </c>
      <c r="F429" s="6" t="str">
        <f>VLOOKUP(C429,Einzelwertung!V$5:W$49,2,0)</f>
        <v>KSZ Hämmerlingstraße Berlin</v>
      </c>
    </row>
    <row r="430" spans="1:6" x14ac:dyDescent="0.2">
      <c r="A430" s="69">
        <f>A429+1</f>
        <v>340</v>
      </c>
      <c r="B430" s="70">
        <f>B429</f>
        <v>45270</v>
      </c>
      <c r="C430" s="6" t="str">
        <f>$H$4</f>
        <v>SG Derenburg / Ilsenburg</v>
      </c>
      <c r="D430" s="69" t="s">
        <v>17</v>
      </c>
      <c r="E430" s="6" t="str">
        <f>$H$5</f>
        <v>Stendaler KC</v>
      </c>
      <c r="F430" s="6" t="str">
        <f>VLOOKUP(C430,Einzelwertung!V$5:W$49,2,0)</f>
        <v>Rudi Steckel Kegelhalle Derenburg</v>
      </c>
    </row>
    <row r="431" spans="1:6" x14ac:dyDescent="0.2">
      <c r="A431" s="69">
        <f>A430+1</f>
        <v>341</v>
      </c>
      <c r="B431" s="70">
        <f>B429</f>
        <v>45270</v>
      </c>
      <c r="C431" s="6" t="str">
        <f>$H$6</f>
        <v>1. KSV Vetschau</v>
      </c>
      <c r="D431" s="69" t="s">
        <v>17</v>
      </c>
      <c r="E431" s="6" t="str">
        <f>$H$7</f>
        <v>MPSV 95 Königs Wusterhausen</v>
      </c>
      <c r="F431" s="6" t="str">
        <f>VLOOKUP(C431,Einzelwertung!V$5:W$49,2,0)</f>
        <v>Gaststätte "Goldener Stern" Vetschau</v>
      </c>
    </row>
    <row r="432" spans="1:6" x14ac:dyDescent="0.2">
      <c r="A432" s="69">
        <f>A431+1</f>
        <v>342</v>
      </c>
      <c r="B432" s="70">
        <f>B429</f>
        <v>45270</v>
      </c>
      <c r="C432" s="6" t="str">
        <f>$H$8</f>
        <v>SpG Prignitz</v>
      </c>
      <c r="D432" s="69" t="s">
        <v>17</v>
      </c>
      <c r="E432" s="6" t="str">
        <f>$H$9</f>
        <v>SV Binde</v>
      </c>
      <c r="F432" s="6" t="str">
        <f>VLOOKUP(C432,Einzelwertung!V$5:W$49,2,0)</f>
        <v>"Der Kuhstall auf Dahses Hof" Karstädt</v>
      </c>
    </row>
    <row r="433" spans="1:6" x14ac:dyDescent="0.2">
      <c r="F433" s="6"/>
    </row>
    <row r="434" spans="1:6" x14ac:dyDescent="0.2">
      <c r="A434" s="69">
        <f>A432+1</f>
        <v>343</v>
      </c>
      <c r="B434" s="70">
        <f>B294</f>
        <v>45297</v>
      </c>
      <c r="C434" s="6" t="str">
        <f>$H$4</f>
        <v>SG Derenburg / Ilsenburg</v>
      </c>
      <c r="D434" s="69" t="s">
        <v>17</v>
      </c>
      <c r="E434" s="6" t="str">
        <f>$H$2</f>
        <v>SG Union Oberschöneweide II</v>
      </c>
      <c r="F434" s="6" t="str">
        <f>VLOOKUP(C434,Einzelwertung!V$5:W$49,2,0)</f>
        <v>Rudi Steckel Kegelhalle Derenburg</v>
      </c>
    </row>
    <row r="435" spans="1:6" x14ac:dyDescent="0.2">
      <c r="A435" s="69">
        <f>A434+1</f>
        <v>344</v>
      </c>
      <c r="B435" s="70">
        <f>B434</f>
        <v>45297</v>
      </c>
      <c r="C435" s="6" t="str">
        <f>$H$5</f>
        <v>Stendaler KC</v>
      </c>
      <c r="D435" s="69" t="s">
        <v>17</v>
      </c>
      <c r="E435" s="6" t="str">
        <f>$H$3</f>
        <v>KC Rot-Weiss Seyda</v>
      </c>
      <c r="F435" s="6" t="str">
        <f>VLOOKUP(C435,Einzelwertung!V$5:W$49,2,0)</f>
        <v>Sporthalle Haferbreiter Weg Stendal</v>
      </c>
    </row>
    <row r="436" spans="1:6" x14ac:dyDescent="0.2">
      <c r="A436" s="69">
        <f>A435+1</f>
        <v>345</v>
      </c>
      <c r="B436" s="70">
        <f>B434</f>
        <v>45297</v>
      </c>
      <c r="C436" s="6" t="str">
        <f>$H$8</f>
        <v>SpG Prignitz</v>
      </c>
      <c r="D436" s="69" t="s">
        <v>17</v>
      </c>
      <c r="E436" s="6" t="str">
        <f>$H$6</f>
        <v>1. KSV Vetschau</v>
      </c>
      <c r="F436" s="6" t="str">
        <f>VLOOKUP(C436,Einzelwertung!V$5:W$49,2,0)</f>
        <v>"Der Kuhstall auf Dahses Hof" Karstädt</v>
      </c>
    </row>
    <row r="437" spans="1:6" x14ac:dyDescent="0.2">
      <c r="A437" s="69">
        <f>A436+1</f>
        <v>346</v>
      </c>
      <c r="B437" s="70">
        <f>B434</f>
        <v>45297</v>
      </c>
      <c r="C437" s="6" t="str">
        <f>$H$9</f>
        <v>SV Binde</v>
      </c>
      <c r="D437" s="69" t="s">
        <v>17</v>
      </c>
      <c r="E437" s="6" t="str">
        <f>$H$7</f>
        <v>MPSV 95 Königs Wusterhausen</v>
      </c>
      <c r="F437" s="6" t="str">
        <f>VLOOKUP(C437,Einzelwertung!V$5:W$49,2,0)</f>
        <v>Kegelhalle Arendsee</v>
      </c>
    </row>
    <row r="438" spans="1:6" x14ac:dyDescent="0.2">
      <c r="F438" s="6"/>
    </row>
    <row r="439" spans="1:6" x14ac:dyDescent="0.2">
      <c r="A439" s="69">
        <f>A437+1</f>
        <v>347</v>
      </c>
      <c r="B439" s="70">
        <f>B434+1</f>
        <v>45298</v>
      </c>
      <c r="C439" s="6" t="str">
        <f>$H$5</f>
        <v>Stendaler KC</v>
      </c>
      <c r="D439" s="69" t="s">
        <v>17</v>
      </c>
      <c r="E439" s="6" t="str">
        <f>$H$2</f>
        <v>SG Union Oberschöneweide II</v>
      </c>
      <c r="F439" s="6" t="str">
        <f>VLOOKUP(C439,Einzelwertung!V$5:W$49,2,0)</f>
        <v>Sporthalle Haferbreiter Weg Stendal</v>
      </c>
    </row>
    <row r="440" spans="1:6" x14ac:dyDescent="0.2">
      <c r="A440" s="69">
        <f>A439+1</f>
        <v>348</v>
      </c>
      <c r="B440" s="70">
        <f>B439</f>
        <v>45298</v>
      </c>
      <c r="C440" s="6" t="str">
        <f>$H$4</f>
        <v>SG Derenburg / Ilsenburg</v>
      </c>
      <c r="D440" s="69" t="s">
        <v>17</v>
      </c>
      <c r="E440" s="6" t="str">
        <f>$H$3</f>
        <v>KC Rot-Weiss Seyda</v>
      </c>
      <c r="F440" s="6" t="str">
        <f>VLOOKUP(C440,Einzelwertung!V$5:W$49,2,0)</f>
        <v>Rudi Steckel Kegelhalle Derenburg</v>
      </c>
    </row>
    <row r="441" spans="1:6" x14ac:dyDescent="0.2">
      <c r="A441" s="69">
        <f>A440+1</f>
        <v>349</v>
      </c>
      <c r="B441" s="70">
        <f>B439</f>
        <v>45298</v>
      </c>
      <c r="C441" s="6" t="str">
        <f>$H$8</f>
        <v>SpG Prignitz</v>
      </c>
      <c r="D441" s="69" t="s">
        <v>17</v>
      </c>
      <c r="E441" s="6" t="str">
        <f>$H$7</f>
        <v>MPSV 95 Königs Wusterhausen</v>
      </c>
      <c r="F441" s="6" t="str">
        <f>VLOOKUP(C441,Einzelwertung!V$5:W$49,2,0)</f>
        <v>"Der Kuhstall auf Dahses Hof" Karstädt</v>
      </c>
    </row>
    <row r="442" spans="1:6" x14ac:dyDescent="0.2">
      <c r="A442" s="69">
        <f>A441+1</f>
        <v>350</v>
      </c>
      <c r="B442" s="70">
        <f>B439</f>
        <v>45298</v>
      </c>
      <c r="C442" s="6" t="str">
        <f>$H$9</f>
        <v>SV Binde</v>
      </c>
      <c r="D442" s="69" t="s">
        <v>17</v>
      </c>
      <c r="E442" s="6" t="str">
        <f>$H$6</f>
        <v>1. KSV Vetschau</v>
      </c>
      <c r="F442" s="6" t="str">
        <f>VLOOKUP(C442,Einzelwertung!V$5:W$49,2,0)</f>
        <v>Kegelhalle Arendsee</v>
      </c>
    </row>
    <row r="444" spans="1:6" x14ac:dyDescent="0.2">
      <c r="A444" s="69">
        <f>A442+1</f>
        <v>351</v>
      </c>
      <c r="B444" s="70">
        <f>B304</f>
        <v>45325</v>
      </c>
      <c r="C444" s="6" t="str">
        <f>$H$2</f>
        <v>SG Union Oberschöneweide II</v>
      </c>
      <c r="D444" s="69" t="s">
        <v>17</v>
      </c>
      <c r="E444" s="6" t="str">
        <f>$H$6</f>
        <v>1. KSV Vetschau</v>
      </c>
      <c r="F444" s="6" t="str">
        <f>VLOOKUP(C444,Einzelwertung!V$5:W$49,2,0)</f>
        <v>KSZ Hämmerlingstraße Berlin</v>
      </c>
    </row>
    <row r="445" spans="1:6" x14ac:dyDescent="0.2">
      <c r="A445" s="69">
        <f>A444+1</f>
        <v>352</v>
      </c>
      <c r="B445" s="70">
        <f>B444</f>
        <v>45325</v>
      </c>
      <c r="C445" s="6" t="str">
        <f>$H$3</f>
        <v>KC Rot-Weiss Seyda</v>
      </c>
      <c r="D445" s="69" t="s">
        <v>17</v>
      </c>
      <c r="E445" s="6" t="str">
        <f>$H$7</f>
        <v>MPSV 95 Königs Wusterhausen</v>
      </c>
      <c r="F445" s="6" t="str">
        <f>VLOOKUP(C445,Einzelwertung!V$5:W$49,2,0)</f>
        <v>Kegelbahn Treuenbrietzen</v>
      </c>
    </row>
    <row r="446" spans="1:6" x14ac:dyDescent="0.2">
      <c r="A446" s="69">
        <f>A445+1</f>
        <v>353</v>
      </c>
      <c r="B446" s="70">
        <f>B444</f>
        <v>45325</v>
      </c>
      <c r="C446" s="6" t="str">
        <f>$H$4</f>
        <v>SG Derenburg / Ilsenburg</v>
      </c>
      <c r="D446" s="69" t="s">
        <v>17</v>
      </c>
      <c r="E446" s="6" t="str">
        <f>$H$8</f>
        <v>SpG Prignitz</v>
      </c>
      <c r="F446" s="6" t="str">
        <f>VLOOKUP(C446,Einzelwertung!V$5:W$49,2,0)</f>
        <v>Rudi Steckel Kegelhalle Derenburg</v>
      </c>
    </row>
    <row r="447" spans="1:6" x14ac:dyDescent="0.2">
      <c r="A447" s="69">
        <f>A446+1</f>
        <v>354</v>
      </c>
      <c r="B447" s="70">
        <f>B444</f>
        <v>45325</v>
      </c>
      <c r="C447" s="6" t="str">
        <f>$H$5</f>
        <v>Stendaler KC</v>
      </c>
      <c r="D447" s="69" t="s">
        <v>17</v>
      </c>
      <c r="E447" s="6" t="str">
        <f>$H$9</f>
        <v>SV Binde</v>
      </c>
      <c r="F447" s="6" t="str">
        <f>VLOOKUP(C447,Einzelwertung!V$5:W$49,2,0)</f>
        <v>Sporthalle Haferbreiter Weg Stendal</v>
      </c>
    </row>
    <row r="449" spans="1:6" x14ac:dyDescent="0.2">
      <c r="A449" s="69">
        <f>A447+1</f>
        <v>355</v>
      </c>
      <c r="B449" s="70">
        <f>B444+1</f>
        <v>45326</v>
      </c>
      <c r="C449" s="6" t="str">
        <f>$H$2</f>
        <v>SG Union Oberschöneweide II</v>
      </c>
      <c r="D449" s="69" t="s">
        <v>17</v>
      </c>
      <c r="E449" s="6" t="str">
        <f>$H$7</f>
        <v>MPSV 95 Königs Wusterhausen</v>
      </c>
      <c r="F449" s="6" t="str">
        <f>VLOOKUP(C449,Einzelwertung!V$5:W$49,2,0)</f>
        <v>KSZ Hämmerlingstraße Berlin</v>
      </c>
    </row>
    <row r="450" spans="1:6" x14ac:dyDescent="0.2">
      <c r="A450" s="69">
        <f>A449+1</f>
        <v>356</v>
      </c>
      <c r="B450" s="70">
        <f>B449</f>
        <v>45326</v>
      </c>
      <c r="C450" s="6" t="str">
        <f>$H$3</f>
        <v>KC Rot-Weiss Seyda</v>
      </c>
      <c r="D450" s="69" t="s">
        <v>17</v>
      </c>
      <c r="E450" s="6" t="str">
        <f>$H$6</f>
        <v>1. KSV Vetschau</v>
      </c>
      <c r="F450" s="6" t="str">
        <f>VLOOKUP(C450,Einzelwertung!V$5:W$49,2,0)</f>
        <v>Kegelbahn Treuenbrietzen</v>
      </c>
    </row>
    <row r="451" spans="1:6" x14ac:dyDescent="0.2">
      <c r="A451" s="69">
        <f>A450+1</f>
        <v>357</v>
      </c>
      <c r="B451" s="70">
        <f>B449</f>
        <v>45326</v>
      </c>
      <c r="C451" s="6" t="str">
        <f>$H$4</f>
        <v>SG Derenburg / Ilsenburg</v>
      </c>
      <c r="D451" s="69" t="s">
        <v>17</v>
      </c>
      <c r="E451" s="6" t="str">
        <f>$H$9</f>
        <v>SV Binde</v>
      </c>
      <c r="F451" s="6" t="str">
        <f>VLOOKUP(C451,Einzelwertung!V$5:W$49,2,0)</f>
        <v>Rudi Steckel Kegelhalle Derenburg</v>
      </c>
    </row>
    <row r="452" spans="1:6" x14ac:dyDescent="0.2">
      <c r="A452" s="69">
        <f>A451+1</f>
        <v>358</v>
      </c>
      <c r="B452" s="70">
        <f>B449</f>
        <v>45326</v>
      </c>
      <c r="C452" s="6" t="str">
        <f>$H$5</f>
        <v>Stendaler KC</v>
      </c>
      <c r="D452" s="69" t="s">
        <v>17</v>
      </c>
      <c r="E452" s="6" t="str">
        <f>$H$8</f>
        <v>SpG Prignitz</v>
      </c>
      <c r="F452" s="6" t="str">
        <f>VLOOKUP(C452,Einzelwertung!V$5:W$49,2,0)</f>
        <v>Sporthalle Haferbreiter Weg Stendal</v>
      </c>
    </row>
    <row r="454" spans="1:6" x14ac:dyDescent="0.2">
      <c r="A454" s="69">
        <f>A452+1</f>
        <v>359</v>
      </c>
      <c r="B454" s="70">
        <f>B314</f>
        <v>45360</v>
      </c>
      <c r="C454" s="6" t="str">
        <f>$H$8</f>
        <v>SpG Prignitz</v>
      </c>
      <c r="D454" s="69" t="s">
        <v>17</v>
      </c>
      <c r="E454" s="6" t="str">
        <f>$H$2</f>
        <v>SG Union Oberschöneweide II</v>
      </c>
      <c r="F454" s="6" t="str">
        <f>VLOOKUP(C454,Einzelwertung!V$5:W$49,2,0)</f>
        <v>"Der Kuhstall auf Dahses Hof" Karstädt</v>
      </c>
    </row>
    <row r="455" spans="1:6" x14ac:dyDescent="0.2">
      <c r="A455" s="69">
        <f>A454+1</f>
        <v>360</v>
      </c>
      <c r="B455" s="70">
        <f>B454</f>
        <v>45360</v>
      </c>
      <c r="C455" s="6" t="str">
        <f>$H$9</f>
        <v>SV Binde</v>
      </c>
      <c r="D455" s="69" t="s">
        <v>17</v>
      </c>
      <c r="E455" s="6" t="str">
        <f>$H$3</f>
        <v>KC Rot-Weiss Seyda</v>
      </c>
      <c r="F455" s="6" t="str">
        <f>VLOOKUP(C455,Einzelwertung!V$5:W$49,2,0)</f>
        <v>Kegelhalle Arendsee</v>
      </c>
    </row>
    <row r="456" spans="1:6" x14ac:dyDescent="0.2">
      <c r="A456" s="69">
        <f>A455+1</f>
        <v>361</v>
      </c>
      <c r="B456" s="70">
        <f>B454</f>
        <v>45360</v>
      </c>
      <c r="C456" s="6" t="str">
        <f>$H$6</f>
        <v>1. KSV Vetschau</v>
      </c>
      <c r="D456" s="69" t="s">
        <v>17</v>
      </c>
      <c r="E456" s="6" t="str">
        <f>$H$4</f>
        <v>SG Derenburg / Ilsenburg</v>
      </c>
      <c r="F456" s="6" t="str">
        <f>VLOOKUP(C456,Einzelwertung!V$5:W$49,2,0)</f>
        <v>Gaststätte "Goldener Stern" Vetschau</v>
      </c>
    </row>
    <row r="457" spans="1:6" x14ac:dyDescent="0.2">
      <c r="A457" s="69">
        <f>A456+1</f>
        <v>362</v>
      </c>
      <c r="B457" s="70">
        <f>B454</f>
        <v>45360</v>
      </c>
      <c r="C457" s="6" t="str">
        <f>$H$7</f>
        <v>MPSV 95 Königs Wusterhausen</v>
      </c>
      <c r="D457" s="69" t="s">
        <v>17</v>
      </c>
      <c r="E457" s="6" t="str">
        <f>$H$5</f>
        <v>Stendaler KC</v>
      </c>
      <c r="F457" s="6" t="str">
        <f>VLOOKUP(C457,Einzelwertung!V$5:W$49,2,0)</f>
        <v>Stadion der Freundschaft Königs Wusterhausen</v>
      </c>
    </row>
    <row r="459" spans="1:6" x14ac:dyDescent="0.2">
      <c r="A459" s="69">
        <f>A457+1</f>
        <v>363</v>
      </c>
      <c r="B459" s="70">
        <f>B454+1</f>
        <v>45361</v>
      </c>
      <c r="C459" s="6" t="str">
        <f>$H$9</f>
        <v>SV Binde</v>
      </c>
      <c r="D459" s="69" t="s">
        <v>17</v>
      </c>
      <c r="E459" s="6" t="str">
        <f>$H$2</f>
        <v>SG Union Oberschöneweide II</v>
      </c>
      <c r="F459" s="6" t="str">
        <f>VLOOKUP(C459,Einzelwertung!V$5:W$49,2,0)</f>
        <v>Kegelhalle Arendsee</v>
      </c>
    </row>
    <row r="460" spans="1:6" x14ac:dyDescent="0.2">
      <c r="A460" s="69">
        <f>A459+1</f>
        <v>364</v>
      </c>
      <c r="B460" s="70">
        <f>B459</f>
        <v>45361</v>
      </c>
      <c r="C460" s="6" t="str">
        <f>$H$8</f>
        <v>SpG Prignitz</v>
      </c>
      <c r="D460" s="69" t="s">
        <v>17</v>
      </c>
      <c r="E460" s="6" t="str">
        <f>$H$3</f>
        <v>KC Rot-Weiss Seyda</v>
      </c>
      <c r="F460" s="6" t="str">
        <f>VLOOKUP(C460,Einzelwertung!V$5:W$49,2,0)</f>
        <v>"Der Kuhstall auf Dahses Hof" Karstädt</v>
      </c>
    </row>
    <row r="461" spans="1:6" x14ac:dyDescent="0.2">
      <c r="A461" s="69">
        <f>A460+1</f>
        <v>365</v>
      </c>
      <c r="B461" s="70">
        <f>B459</f>
        <v>45361</v>
      </c>
      <c r="C461" s="6" t="str">
        <f>$H$7</f>
        <v>MPSV 95 Königs Wusterhausen</v>
      </c>
      <c r="D461" s="69" t="s">
        <v>17</v>
      </c>
      <c r="E461" s="6" t="str">
        <f>$H$4</f>
        <v>SG Derenburg / Ilsenburg</v>
      </c>
      <c r="F461" s="6" t="str">
        <f>VLOOKUP(C461,Einzelwertung!V$5:W$49,2,0)</f>
        <v>Stadion der Freundschaft Königs Wusterhausen</v>
      </c>
    </row>
    <row r="462" spans="1:6" x14ac:dyDescent="0.2">
      <c r="A462" s="69">
        <f>A461+1</f>
        <v>366</v>
      </c>
      <c r="B462" s="70">
        <f>B459</f>
        <v>45361</v>
      </c>
      <c r="C462" s="6" t="str">
        <f>$H$6</f>
        <v>1. KSV Vetschau</v>
      </c>
      <c r="D462" s="69" t="s">
        <v>17</v>
      </c>
      <c r="E462" s="6" t="str">
        <f>$H$5</f>
        <v>Stendaler KC</v>
      </c>
      <c r="F462" s="6" t="str">
        <f>VLOOKUP(C462,Einzelwertung!V$5:W$49,2,0)</f>
        <v>Gaststätte "Goldener Stern" Vetschau</v>
      </c>
    </row>
  </sheetData>
  <sheetProtection algorithmName="SHA-512" hashValue="BgMOWZKy41ThEqf4v/ichh/RJNBci61LqlhNC4hG/wpbnmcmB+CWMIez9MtOfmOabc2KECrBGM7Nizzn9wjaSQ==" saltValue="ud0jRM8IBwH3wLjU3UZqvQ==" spinCount="100000" sheet="1" objects="1" scenarios="1"/>
  <pageMargins left="0.78749999999999998" right="0.78749999999999998" top="0.98402777777777772" bottom="0.98402777777777772"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W60"/>
  <sheetViews>
    <sheetView showGridLines="0" showRowColHeaders="0" workbookViewId="0"/>
  </sheetViews>
  <sheetFormatPr baseColWidth="10" defaultColWidth="11.42578125" defaultRowHeight="12.75" x14ac:dyDescent="0.2"/>
  <cols>
    <col min="1" max="1" width="5" style="62" customWidth="1"/>
    <col min="2" max="2" width="20.7109375" style="62" customWidth="1"/>
    <col min="3" max="3" width="7.7109375" style="62" customWidth="1"/>
    <col min="4" max="4" width="5.7109375" style="62" customWidth="1"/>
    <col min="5" max="5" width="7.7109375" style="62" customWidth="1"/>
    <col min="6" max="6" width="20.7109375" style="62" customWidth="1"/>
    <col min="7" max="7" width="7.7109375" style="62" customWidth="1"/>
    <col min="8" max="10" width="5.7109375" style="62" customWidth="1"/>
    <col min="11" max="11" width="20.7109375" style="62" customWidth="1"/>
    <col min="12" max="12" width="5.7109375" style="62" customWidth="1"/>
    <col min="13" max="14" width="10.85546875" style="62" bestFit="1" customWidth="1"/>
    <col min="15" max="20" width="5.7109375" style="62" customWidth="1"/>
    <col min="21" max="21" width="11.42578125" style="62" customWidth="1"/>
    <col min="22" max="22" width="28.7109375" style="62" customWidth="1"/>
    <col min="23" max="23" width="41.7109375" style="62" customWidth="1"/>
    <col min="24" max="16384" width="11.42578125" style="62"/>
  </cols>
  <sheetData>
    <row r="1" spans="1:23" ht="50.25" customHeight="1" x14ac:dyDescent="0.2">
      <c r="A1" s="67"/>
      <c r="B1" s="67"/>
      <c r="C1" s="67"/>
      <c r="D1" s="67"/>
      <c r="E1" s="67"/>
      <c r="F1" s="67"/>
      <c r="G1" s="67"/>
      <c r="H1" s="67"/>
      <c r="I1" s="67"/>
      <c r="J1" s="67"/>
      <c r="K1" s="67"/>
      <c r="L1" s="67"/>
      <c r="M1" s="67"/>
      <c r="N1" s="67"/>
      <c r="O1" s="67"/>
      <c r="P1" s="67"/>
      <c r="Q1" s="67"/>
      <c r="R1" s="67"/>
      <c r="S1" s="67"/>
      <c r="T1" s="67"/>
      <c r="U1" s="61"/>
      <c r="V1" s="61"/>
      <c r="W1" s="61"/>
    </row>
    <row r="2" spans="1:23" ht="24.95" customHeight="1" x14ac:dyDescent="0.2">
      <c r="A2" s="67"/>
      <c r="B2" s="67"/>
      <c r="C2" s="67"/>
      <c r="D2" s="67"/>
      <c r="E2" s="67"/>
      <c r="F2" s="67"/>
      <c r="G2" s="67"/>
      <c r="H2" s="67"/>
      <c r="I2" s="67"/>
      <c r="J2" s="67"/>
      <c r="K2" s="67"/>
      <c r="L2" s="67"/>
      <c r="M2" s="67"/>
      <c r="N2" s="67"/>
      <c r="O2" s="67"/>
      <c r="P2" s="67"/>
      <c r="Q2" s="67"/>
      <c r="R2" s="67"/>
      <c r="S2" s="67"/>
      <c r="T2" s="67"/>
      <c r="U2" s="61"/>
      <c r="V2" s="61"/>
      <c r="W2" s="61"/>
    </row>
    <row r="3" spans="1:23" s="65" customFormat="1" x14ac:dyDescent="0.2">
      <c r="A3" s="67"/>
      <c r="B3" s="75" t="s">
        <v>22</v>
      </c>
      <c r="C3" s="75" t="s">
        <v>23</v>
      </c>
      <c r="D3" s="75" t="s">
        <v>139</v>
      </c>
      <c r="E3" s="75"/>
      <c r="F3" s="75" t="s">
        <v>22</v>
      </c>
      <c r="G3" s="75" t="s">
        <v>23</v>
      </c>
      <c r="H3" s="75" t="s">
        <v>139</v>
      </c>
      <c r="I3" s="75"/>
      <c r="J3" s="75"/>
      <c r="K3" s="87" t="s">
        <v>0</v>
      </c>
      <c r="L3" s="75"/>
      <c r="M3" s="75"/>
      <c r="N3" s="75"/>
      <c r="O3" s="75"/>
      <c r="P3" s="75"/>
      <c r="Q3" s="75"/>
      <c r="R3" s="75"/>
      <c r="S3" s="75"/>
      <c r="T3" s="75"/>
      <c r="U3" s="63"/>
      <c r="V3" s="64" t="s">
        <v>78</v>
      </c>
      <c r="W3" s="61"/>
    </row>
    <row r="4" spans="1:23" x14ac:dyDescent="0.2">
      <c r="A4" s="67"/>
      <c r="B4" s="77">
        <f>Formular!F16</f>
        <v>0</v>
      </c>
      <c r="C4" s="76">
        <f>Formular!N16</f>
        <v>0</v>
      </c>
      <c r="D4" s="76">
        <f>IF(O4=O10,H4,IF(O4=O11,H5,INDEX(R4:R15,MATCH(B4,P4:P15,0))))</f>
        <v>0</v>
      </c>
      <c r="E4" s="67"/>
      <c r="F4" s="77">
        <f>Formular!X16</f>
        <v>0</v>
      </c>
      <c r="G4" s="76">
        <f>Formular!AF16</f>
        <v>0</v>
      </c>
      <c r="H4" s="76">
        <f>INDEX(R4:R15,MATCH(F4,P4:P15,0))</f>
        <v>0</v>
      </c>
      <c r="I4" s="75"/>
      <c r="J4" s="75"/>
      <c r="K4" s="67">
        <f t="shared" ref="K4:L9" si="0">B4</f>
        <v>0</v>
      </c>
      <c r="L4" s="75">
        <f t="shared" si="0"/>
        <v>0</v>
      </c>
      <c r="M4" s="75">
        <f>L4-ROW(O6)/1000000</f>
        <v>-6.0000000000000002E-6</v>
      </c>
      <c r="N4" s="75">
        <f>IF(IF(COUNTIF($C4:$C9,"&gt;0")=6,M4=MIN($M4:$M9))=FALSE,M4,0.001)</f>
        <v>-6.0000000000000002E-6</v>
      </c>
      <c r="O4" s="75">
        <f>IF(N4=0,0,IF(N4&lt;1,0,L4))</f>
        <v>0</v>
      </c>
      <c r="P4" s="67">
        <f>INDEX(K4:K15,MATCH(LARGE(N4:N15,ROW(A$1)),N4:N15,0))</f>
        <v>0</v>
      </c>
      <c r="Q4" s="75">
        <f>LARGE(O4:O15,ROW(A$1))</f>
        <v>0</v>
      </c>
      <c r="R4" s="75">
        <f>IF(Q4=0,0,10)</f>
        <v>0</v>
      </c>
      <c r="S4" s="75"/>
      <c r="T4" s="75"/>
      <c r="U4" s="61"/>
      <c r="V4" s="61"/>
      <c r="W4" s="61"/>
    </row>
    <row r="5" spans="1:23" x14ac:dyDescent="0.2">
      <c r="A5" s="67"/>
      <c r="B5" s="77">
        <f>Formular!F17</f>
        <v>0</v>
      </c>
      <c r="C5" s="76">
        <f>Formular!N17</f>
        <v>0</v>
      </c>
      <c r="D5" s="76">
        <f>IF(O5=O11,H5,IF(O5=O10,H4,IF(O5=O4,D4,INDEX(R4:R15,MATCH(B5,P4:P15,0)))))</f>
        <v>0</v>
      </c>
      <c r="E5" s="67"/>
      <c r="F5" s="77">
        <f>Formular!X17</f>
        <v>0</v>
      </c>
      <c r="G5" s="76">
        <f>Formular!AF17</f>
        <v>0</v>
      </c>
      <c r="H5" s="76">
        <f>IF(O11=O10,INDEX(R4:R15,MATCH(F4,P4:P15,0)),INDEX(R4:R15,MATCH(F5,P4:P15,0)))</f>
        <v>0</v>
      </c>
      <c r="I5" s="75"/>
      <c r="J5" s="75"/>
      <c r="K5" s="67">
        <f t="shared" si="0"/>
        <v>0</v>
      </c>
      <c r="L5" s="75">
        <f t="shared" si="0"/>
        <v>0</v>
      </c>
      <c r="M5" s="75">
        <f>L5-ROW(O7)/1000000</f>
        <v>-6.9999999999999999E-6</v>
      </c>
      <c r="N5" s="75">
        <f>IF(IF(COUNTIF($C4:$C9,"&gt;0")=6,M5=MIN($M4:$M9))=FALSE,M5,0.002)</f>
        <v>-6.9999999999999999E-6</v>
      </c>
      <c r="O5" s="75">
        <f t="shared" ref="O5:O15" si="1">IF(N5=0,0,IF(N5&lt;1,0,L5))</f>
        <v>0</v>
      </c>
      <c r="P5" s="67">
        <f>INDEX(K4:K15,MATCH(LARGE(N4:N15,ROW(A$2)),N4:N15,0))</f>
        <v>0</v>
      </c>
      <c r="Q5" s="75">
        <f>LARGE(O4:O15,ROW(A$2))</f>
        <v>0</v>
      </c>
      <c r="R5" s="75">
        <f>IF(Q5=0,0,9)</f>
        <v>0</v>
      </c>
      <c r="S5" s="75"/>
      <c r="T5" s="75"/>
      <c r="U5" s="61"/>
      <c r="V5" s="66" t="s">
        <v>66</v>
      </c>
      <c r="W5" s="61" t="s">
        <v>83</v>
      </c>
    </row>
    <row r="6" spans="1:23" x14ac:dyDescent="0.2">
      <c r="A6" s="67"/>
      <c r="B6" s="77">
        <f>Formular!F18</f>
        <v>0</v>
      </c>
      <c r="C6" s="76">
        <f>Formular!N18</f>
        <v>0</v>
      </c>
      <c r="D6" s="76">
        <f>IF(O6=O12,H6,IF(O6=O13,H7,INDEX(R4:R15,MATCH(B6,P4:P15,0))))</f>
        <v>0</v>
      </c>
      <c r="E6" s="67"/>
      <c r="F6" s="77">
        <f>Formular!X18</f>
        <v>0</v>
      </c>
      <c r="G6" s="76">
        <f>Formular!AF18</f>
        <v>0</v>
      </c>
      <c r="H6" s="76">
        <f>INDEX(R4:R15,MATCH(F6,P4:P15,0))</f>
        <v>0</v>
      </c>
      <c r="I6" s="75"/>
      <c r="J6" s="75"/>
      <c r="K6" s="67">
        <f t="shared" si="0"/>
        <v>0</v>
      </c>
      <c r="L6" s="75">
        <f t="shared" si="0"/>
        <v>0</v>
      </c>
      <c r="M6" s="75">
        <f>L6-ROW(O10)/1000000</f>
        <v>-1.0000000000000001E-5</v>
      </c>
      <c r="N6" s="75">
        <f>IF(IF(COUNTIF($C4:$C9,"&gt;0")=6,M6=MIN($M4:$M9))=FALSE,M6,0.003)</f>
        <v>-1.0000000000000001E-5</v>
      </c>
      <c r="O6" s="75">
        <f t="shared" si="1"/>
        <v>0</v>
      </c>
      <c r="P6" s="67">
        <f>INDEX(K4:K15,MATCH(LARGE(N4:N15,ROW(A$3)),N4:N15,0))</f>
        <v>0</v>
      </c>
      <c r="Q6" s="75">
        <f>LARGE(O4:O15,ROW(A$3))</f>
        <v>0</v>
      </c>
      <c r="R6" s="75">
        <f>IF(Q6=0,0,8)</f>
        <v>0</v>
      </c>
      <c r="S6" s="75"/>
      <c r="T6" s="75"/>
      <c r="U6" s="61"/>
      <c r="V6" s="61" t="s">
        <v>170</v>
      </c>
      <c r="W6" s="61" t="s">
        <v>31</v>
      </c>
    </row>
    <row r="7" spans="1:23" x14ac:dyDescent="0.2">
      <c r="A7" s="67"/>
      <c r="B7" s="77">
        <f>Formular!F19</f>
        <v>0</v>
      </c>
      <c r="C7" s="76">
        <f>Formular!N19</f>
        <v>0</v>
      </c>
      <c r="D7" s="76">
        <f>IF(O7=O13,H7,IF(O7=O12,H6,IF(O7=O6,D6,INDEX(R4:R15,MATCH(B7,P4:P15,0)))))</f>
        <v>0</v>
      </c>
      <c r="E7" s="67"/>
      <c r="F7" s="77">
        <f>Formular!X19</f>
        <v>0</v>
      </c>
      <c r="G7" s="76">
        <f>Formular!AF19</f>
        <v>0</v>
      </c>
      <c r="H7" s="76">
        <f>IF(O13=O12,INDEX(R4:R15,MATCH(F6,P4:P15,0)),INDEX(R4:R15,MATCH(F7,P4:P15,0)))</f>
        <v>0</v>
      </c>
      <c r="I7" s="75"/>
      <c r="J7" s="75"/>
      <c r="K7" s="67">
        <f t="shared" si="0"/>
        <v>0</v>
      </c>
      <c r="L7" s="75">
        <f t="shared" si="0"/>
        <v>0</v>
      </c>
      <c r="M7" s="75">
        <f>L7-ROW(O11)/1000000</f>
        <v>-1.1E-5</v>
      </c>
      <c r="N7" s="75">
        <f>IF(IF(COUNTIF($C4:$C9,"&gt;0")=6,M7=MIN($M4:$M9))=FALSE,M7,0.004)</f>
        <v>-1.1E-5</v>
      </c>
      <c r="O7" s="75">
        <f t="shared" si="1"/>
        <v>0</v>
      </c>
      <c r="P7" s="67">
        <f>INDEX(K4:K15,MATCH(LARGE(N4:N15,ROW(A$4)),N4:N15,0))</f>
        <v>0</v>
      </c>
      <c r="Q7" s="75">
        <f>LARGE(O4:O15,ROW(A$4))</f>
        <v>0</v>
      </c>
      <c r="R7" s="75">
        <f>IF(Q7=0,0,7)</f>
        <v>0</v>
      </c>
      <c r="S7" s="75"/>
      <c r="T7" s="75"/>
      <c r="U7" s="61"/>
      <c r="V7" s="61" t="s">
        <v>128</v>
      </c>
      <c r="W7" s="61" t="s">
        <v>64</v>
      </c>
    </row>
    <row r="8" spans="1:23" x14ac:dyDescent="0.2">
      <c r="A8" s="67"/>
      <c r="B8" s="77">
        <f>Formular!F20</f>
        <v>0</v>
      </c>
      <c r="C8" s="76">
        <f>Formular!N20</f>
        <v>0</v>
      </c>
      <c r="D8" s="76">
        <f>IF(O8=O14,H8,IF(O8=O15,H9,INDEX(R4:R15,MATCH(B8,P4:P15,0))))</f>
        <v>0</v>
      </c>
      <c r="E8" s="67"/>
      <c r="F8" s="77">
        <f>Formular!X20</f>
        <v>0</v>
      </c>
      <c r="G8" s="76">
        <f>Formular!AF20</f>
        <v>0</v>
      </c>
      <c r="H8" s="76">
        <f>INDEX(R4:R15,MATCH(F8,P4:P15,0))</f>
        <v>0</v>
      </c>
      <c r="I8" s="75"/>
      <c r="J8" s="75"/>
      <c r="K8" s="67">
        <f t="shared" si="0"/>
        <v>0</v>
      </c>
      <c r="L8" s="75">
        <f t="shared" si="0"/>
        <v>0</v>
      </c>
      <c r="M8" s="75">
        <f>L8-ROW(O14)/1000000</f>
        <v>-1.4E-5</v>
      </c>
      <c r="N8" s="75">
        <f>IF(IF(COUNTIF($C4:$C9,"&gt;0")=6,M8=MIN($M4:$M9))=FALSE,M8,0.005)</f>
        <v>-1.4E-5</v>
      </c>
      <c r="O8" s="75">
        <f t="shared" si="1"/>
        <v>0</v>
      </c>
      <c r="P8" s="67">
        <f>INDEX(K4:K15,MATCH(LARGE(N4:N15,ROW(A$5)),N4:N15,0))</f>
        <v>0</v>
      </c>
      <c r="Q8" s="75">
        <f>LARGE(O4:O15,ROW(A$5))</f>
        <v>0</v>
      </c>
      <c r="R8" s="75">
        <f>IF(Q8=0,0,6)</f>
        <v>0</v>
      </c>
      <c r="S8" s="75"/>
      <c r="T8" s="75"/>
      <c r="U8" s="61"/>
      <c r="V8" s="61" t="s">
        <v>2</v>
      </c>
      <c r="W8" s="66" t="s">
        <v>27</v>
      </c>
    </row>
    <row r="9" spans="1:23" x14ac:dyDescent="0.2">
      <c r="A9" s="67"/>
      <c r="B9" s="77">
        <f>Formular!F21</f>
        <v>0</v>
      </c>
      <c r="C9" s="76">
        <f>Formular!N21</f>
        <v>0</v>
      </c>
      <c r="D9" s="76">
        <f>IF(O9=O15,H9,IF(O9=O14,H8,IF(O9=O8,D8,INDEX(R4:R15,MATCH(B9,P4:P15,0)))))</f>
        <v>0</v>
      </c>
      <c r="E9" s="67"/>
      <c r="F9" s="77">
        <f>Formular!X21</f>
        <v>0</v>
      </c>
      <c r="G9" s="76">
        <f>Formular!AF21</f>
        <v>0</v>
      </c>
      <c r="H9" s="76">
        <f>IF(O15=O14,INDEX(R4:R15,MATCH(F8,P4:P15,0)),INDEX(R4:R15,MATCH(F9,P4:P15,0)))</f>
        <v>0</v>
      </c>
      <c r="I9" s="75"/>
      <c r="J9" s="75"/>
      <c r="K9" s="67">
        <f t="shared" si="0"/>
        <v>0</v>
      </c>
      <c r="L9" s="75">
        <f t="shared" si="0"/>
        <v>0</v>
      </c>
      <c r="M9" s="75">
        <f>L9-ROW(O15)/1000000</f>
        <v>-1.5E-5</v>
      </c>
      <c r="N9" s="75">
        <f>IF(IF(COUNTIF($C4:$C9,"&gt;0")=6,M9=MIN($M4:$M9))=FALSE,M9,0.006)</f>
        <v>-1.5E-5</v>
      </c>
      <c r="O9" s="75">
        <f t="shared" si="1"/>
        <v>0</v>
      </c>
      <c r="P9" s="67">
        <f>INDEX(K4:K15,MATCH(LARGE(N4:N15,ROW(A$6)),N4:N15,0))</f>
        <v>0</v>
      </c>
      <c r="Q9" s="75">
        <f>LARGE(O4:O15,ROW(A$6))</f>
        <v>0</v>
      </c>
      <c r="R9" s="75">
        <f>IF(Q9=0,0,5)</f>
        <v>0</v>
      </c>
      <c r="S9" s="75"/>
      <c r="T9" s="75"/>
      <c r="U9" s="61"/>
      <c r="V9" s="66" t="s">
        <v>161</v>
      </c>
      <c r="W9" s="66" t="s">
        <v>65</v>
      </c>
    </row>
    <row r="10" spans="1:23" x14ac:dyDescent="0.2">
      <c r="A10" s="67"/>
      <c r="B10" s="67"/>
      <c r="C10" s="67"/>
      <c r="D10" s="67"/>
      <c r="E10" s="67"/>
      <c r="F10" s="67"/>
      <c r="G10" s="67"/>
      <c r="H10" s="67"/>
      <c r="I10" s="67"/>
      <c r="J10" s="67"/>
      <c r="K10" s="78">
        <f>F4</f>
        <v>0</v>
      </c>
      <c r="L10" s="75">
        <f>G4</f>
        <v>0</v>
      </c>
      <c r="M10" s="75">
        <f>L10-ROW(O4)/1000000</f>
        <v>-3.9999999999999998E-6</v>
      </c>
      <c r="N10" s="75">
        <f>IF(IF(COUNTIF($G4:$G9,"&gt;0")=6,M10=MIN($M10:$M15))=FALSE,M10,0.007)</f>
        <v>-3.9999999999999998E-6</v>
      </c>
      <c r="O10" s="75">
        <f t="shared" si="1"/>
        <v>0</v>
      </c>
      <c r="P10" s="67">
        <f>INDEX(K4:K15,MATCH(LARGE(N4:N15,ROW(A$7)),N4:N15,0))</f>
        <v>0</v>
      </c>
      <c r="Q10" s="75">
        <f>LARGE(O4:O15,ROW(A$7))</f>
        <v>0</v>
      </c>
      <c r="R10" s="75">
        <f>IF(Q10=0,0,4)</f>
        <v>0</v>
      </c>
      <c r="S10" s="67"/>
      <c r="T10" s="67"/>
      <c r="U10" s="61"/>
      <c r="V10" s="61" t="s">
        <v>5</v>
      </c>
      <c r="W10" s="61" t="s">
        <v>134</v>
      </c>
    </row>
    <row r="11" spans="1:23" x14ac:dyDescent="0.2">
      <c r="A11" s="67"/>
      <c r="B11" s="67"/>
      <c r="C11" s="75">
        <f>SUM(C4:C9)-MIN(C4:C9)</f>
        <v>0</v>
      </c>
      <c r="D11" s="75">
        <f>SUM(D4:D9)</f>
        <v>0</v>
      </c>
      <c r="E11" s="67"/>
      <c r="F11" s="67"/>
      <c r="G11" s="75">
        <f>SUM(G4:G9)-MIN(G4:G9)</f>
        <v>0</v>
      </c>
      <c r="H11" s="75">
        <f>SUM(H4:H9)</f>
        <v>0</v>
      </c>
      <c r="I11" s="67"/>
      <c r="J11" s="67"/>
      <c r="K11" s="67">
        <f t="shared" ref="K11:K15" si="2">F5</f>
        <v>0</v>
      </c>
      <c r="L11" s="75">
        <f t="shared" ref="L11:L15" si="3">G5</f>
        <v>0</v>
      </c>
      <c r="M11" s="75">
        <f>L11-ROW(O5)/1000000</f>
        <v>-5.0000000000000004E-6</v>
      </c>
      <c r="N11" s="75">
        <f>IF(IF(COUNTIF($G4:$G9,"&gt;0")=6,M11=MIN($M10:$M15))=FALSE,M11,0.008)</f>
        <v>-5.0000000000000004E-6</v>
      </c>
      <c r="O11" s="75">
        <f t="shared" si="1"/>
        <v>0</v>
      </c>
      <c r="P11" s="67">
        <f>INDEX(K4:K15,MATCH(LARGE(N4:N15,ROW(A$8)),N4:N15,0))</f>
        <v>0</v>
      </c>
      <c r="Q11" s="75">
        <f>LARGE(O4:O15,ROW(A$8))</f>
        <v>0</v>
      </c>
      <c r="R11" s="75">
        <f>IF(Q11=0,0,3)</f>
        <v>0</v>
      </c>
      <c r="S11" s="67"/>
      <c r="T11" s="67"/>
      <c r="U11" s="61"/>
      <c r="V11" s="61" t="s">
        <v>84</v>
      </c>
      <c r="W11" s="66" t="s">
        <v>20</v>
      </c>
    </row>
    <row r="12" spans="1:23" x14ac:dyDescent="0.2">
      <c r="A12" s="67"/>
      <c r="B12" s="67"/>
      <c r="C12" s="67"/>
      <c r="D12" s="83">
        <f>IF(C11+G11=0,0,IF(M19=0,"0",IF(M19=1,1,IF(M19=2,2,IF(M19=3,3)))))</f>
        <v>0</v>
      </c>
      <c r="E12" s="67"/>
      <c r="F12" s="67"/>
      <c r="G12" s="67"/>
      <c r="H12" s="75">
        <f>IF(C11+G11=0,0,IF(N19=0,"0",IF(N19=1,1,IF(N19=2,2,IF(N19=3,3)))))</f>
        <v>0</v>
      </c>
      <c r="I12" s="67"/>
      <c r="J12" s="67"/>
      <c r="K12" s="67">
        <f t="shared" si="2"/>
        <v>0</v>
      </c>
      <c r="L12" s="75">
        <f t="shared" si="3"/>
        <v>0</v>
      </c>
      <c r="M12" s="75">
        <f>L12-ROW(O8)/1000000</f>
        <v>-7.9999999999999996E-6</v>
      </c>
      <c r="N12" s="75">
        <f>IF(IF(COUNTIF($G4:$G9,"&gt;0")=6,M12=MIN($M10:$M15))=FALSE,M12,0.009)</f>
        <v>-7.9999999999999996E-6</v>
      </c>
      <c r="O12" s="75">
        <f t="shared" si="1"/>
        <v>0</v>
      </c>
      <c r="P12" s="67">
        <f>INDEX(K4:K15,MATCH(LARGE(N4:N15,ROW(A$9)),N4:N15,0))</f>
        <v>0</v>
      </c>
      <c r="Q12" s="75">
        <f>LARGE(O4:O15,ROW(A$9))</f>
        <v>0</v>
      </c>
      <c r="R12" s="75">
        <f>IF(Q12=0,0,2)</f>
        <v>0</v>
      </c>
      <c r="S12" s="67"/>
      <c r="T12" s="67"/>
      <c r="U12" s="61"/>
      <c r="V12" s="61" t="s">
        <v>16</v>
      </c>
      <c r="W12" s="61" t="s">
        <v>25</v>
      </c>
    </row>
    <row r="13" spans="1:23" x14ac:dyDescent="0.2">
      <c r="A13" s="67"/>
      <c r="B13" s="67"/>
      <c r="C13" s="67"/>
      <c r="E13" s="67"/>
      <c r="F13" s="67"/>
      <c r="G13" s="67"/>
      <c r="H13" s="67"/>
      <c r="I13" s="67"/>
      <c r="J13" s="67"/>
      <c r="K13" s="67">
        <f t="shared" si="2"/>
        <v>0</v>
      </c>
      <c r="L13" s="75">
        <f t="shared" si="3"/>
        <v>0</v>
      </c>
      <c r="M13" s="75">
        <f>L13-ROW(O9)/1000000</f>
        <v>-9.0000000000000002E-6</v>
      </c>
      <c r="N13" s="75">
        <f>IF(IF(COUNTIF($G4:$G9,"&gt;0")=6,M13=MIN($M10:$M15))=FALSE,M13,0.01)</f>
        <v>-9.0000000000000002E-6</v>
      </c>
      <c r="O13" s="75">
        <f t="shared" si="1"/>
        <v>0</v>
      </c>
      <c r="P13" s="67">
        <f>INDEX(K4:K15,MATCH(LARGE(N4:N15,ROW(A$10)),N4:N15,0))</f>
        <v>0</v>
      </c>
      <c r="Q13" s="75">
        <f>LARGE(O4:O15,ROW(A$10))</f>
        <v>0</v>
      </c>
      <c r="R13" s="75">
        <f>IF(Q13=0,0,1)</f>
        <v>0</v>
      </c>
      <c r="S13" s="67"/>
      <c r="T13" s="67"/>
      <c r="U13" s="61"/>
      <c r="V13" s="61" t="s">
        <v>171</v>
      </c>
      <c r="W13" s="61" t="s">
        <v>26</v>
      </c>
    </row>
    <row r="14" spans="1:23" x14ac:dyDescent="0.2">
      <c r="A14" s="67"/>
      <c r="B14" s="67"/>
      <c r="C14" s="67"/>
      <c r="E14" s="67"/>
      <c r="F14" s="67"/>
      <c r="G14" s="67"/>
      <c r="H14" s="67"/>
      <c r="I14" s="67"/>
      <c r="J14" s="67"/>
      <c r="K14" s="67">
        <f t="shared" si="2"/>
        <v>0</v>
      </c>
      <c r="L14" s="75">
        <f t="shared" si="3"/>
        <v>0</v>
      </c>
      <c r="M14" s="75">
        <f>L14-ROW(O12)/1000000</f>
        <v>-1.2E-5</v>
      </c>
      <c r="N14" s="75">
        <f>IF(IF(COUNTIF($G4:$G9,"&gt;0")=6,M14=MIN($M10:$M15))=FALSE,M14,0.011)</f>
        <v>-1.2E-5</v>
      </c>
      <c r="O14" s="75">
        <f t="shared" si="1"/>
        <v>0</v>
      </c>
      <c r="P14" s="67">
        <f>INDEX(K4:K15,MATCH(LARGE(N4:N15,ROW(A$11)),N4:N15,0))</f>
        <v>0</v>
      </c>
      <c r="Q14" s="75">
        <v>0</v>
      </c>
      <c r="R14" s="75">
        <v>0</v>
      </c>
      <c r="S14" s="67"/>
      <c r="T14" s="67"/>
      <c r="U14" s="61"/>
      <c r="V14" s="61" t="s">
        <v>11</v>
      </c>
      <c r="W14" s="66" t="s">
        <v>74</v>
      </c>
    </row>
    <row r="15" spans="1:23" x14ac:dyDescent="0.2">
      <c r="A15" s="67"/>
      <c r="B15" s="67"/>
      <c r="C15" s="67"/>
      <c r="D15" s="67"/>
      <c r="E15" s="67"/>
      <c r="F15" s="67"/>
      <c r="G15" s="67"/>
      <c r="H15" s="67"/>
      <c r="I15" s="67"/>
      <c r="J15" s="67"/>
      <c r="K15" s="67">
        <f t="shared" si="2"/>
        <v>0</v>
      </c>
      <c r="L15" s="75">
        <f t="shared" si="3"/>
        <v>0</v>
      </c>
      <c r="M15" s="75">
        <f>L15-ROW(O13)/1000000</f>
        <v>-1.2999999999999999E-5</v>
      </c>
      <c r="N15" s="75">
        <f>IF(IF(COUNTIF($G4:$G9,"&gt;0")=6,M15=MIN($M10:$M15))=FALSE,M15,0.012)</f>
        <v>-1.2999999999999999E-5</v>
      </c>
      <c r="O15" s="75">
        <f t="shared" si="1"/>
        <v>0</v>
      </c>
      <c r="P15" s="67">
        <f>INDEX(K4:K15,MATCH(LARGE(N4:N15,ROW(A$12)),N4:N15,0))</f>
        <v>0</v>
      </c>
      <c r="Q15" s="75">
        <v>0</v>
      </c>
      <c r="R15" s="75">
        <v>0</v>
      </c>
      <c r="S15" s="67"/>
      <c r="T15" s="67"/>
      <c r="U15" s="61"/>
      <c r="V15" s="61" t="s">
        <v>129</v>
      </c>
      <c r="W15" s="61" t="s">
        <v>29</v>
      </c>
    </row>
    <row r="16" spans="1:23" ht="12.75" customHeight="1" x14ac:dyDescent="0.2">
      <c r="A16" s="67"/>
      <c r="B16" s="67"/>
      <c r="C16" s="67"/>
      <c r="D16" s="67"/>
      <c r="E16" s="67"/>
      <c r="F16" s="67"/>
      <c r="G16" s="67"/>
      <c r="H16" s="67"/>
      <c r="I16" s="67"/>
      <c r="J16" s="67"/>
      <c r="K16" s="67"/>
      <c r="L16" s="67"/>
      <c r="M16" s="67"/>
      <c r="N16" s="67"/>
      <c r="O16" s="67"/>
      <c r="P16" s="67"/>
      <c r="Q16" s="67"/>
      <c r="R16" s="67"/>
      <c r="S16" s="67"/>
      <c r="T16" s="67"/>
      <c r="U16" s="61"/>
      <c r="V16" s="66" t="s">
        <v>9</v>
      </c>
      <c r="W16" s="66" t="s">
        <v>28</v>
      </c>
    </row>
    <row r="17" spans="1:23" x14ac:dyDescent="0.2">
      <c r="A17" s="67"/>
      <c r="B17" s="67"/>
      <c r="C17" s="67"/>
      <c r="D17" s="67"/>
      <c r="E17" s="67"/>
      <c r="F17" s="67"/>
      <c r="G17" s="67"/>
      <c r="H17" s="67"/>
      <c r="I17" s="67"/>
      <c r="J17" s="67"/>
      <c r="M17" s="84">
        <f>IF(C11&gt;G11,2,IF(C11=G11,1,0))</f>
        <v>1</v>
      </c>
      <c r="N17" s="83">
        <f>IF(G11&gt;C11,2,IF(G11=C11,1,0))</f>
        <v>1</v>
      </c>
      <c r="O17" s="80">
        <f>LARGE(D4:D9,1)</f>
        <v>0</v>
      </c>
      <c r="P17" s="80">
        <f>IF(O17&gt;Q17,1,0)</f>
        <v>0</v>
      </c>
      <c r="Q17" s="80">
        <f>LARGE(H4:H9,1)</f>
        <v>0</v>
      </c>
      <c r="R17" s="80">
        <f>IF(Q17&gt;O17,1,0)</f>
        <v>0</v>
      </c>
      <c r="S17" s="67"/>
      <c r="T17" s="67"/>
      <c r="U17" s="61"/>
      <c r="V17" s="61"/>
      <c r="W17" s="61"/>
    </row>
    <row r="18" spans="1:23" x14ac:dyDescent="0.2">
      <c r="A18" s="67"/>
      <c r="B18" s="67"/>
      <c r="C18" s="67"/>
      <c r="D18" s="67"/>
      <c r="E18" s="67"/>
      <c r="F18" s="67"/>
      <c r="G18" s="67"/>
      <c r="H18" s="67"/>
      <c r="I18" s="67"/>
      <c r="J18" s="67"/>
      <c r="M18" s="85">
        <f>IF(D11&gt;H11,1,IF(D11=H11,P20,0))</f>
        <v>0</v>
      </c>
      <c r="N18" s="86">
        <f>IF(H11&gt;D11,1,IF(H11=D11,R20,0))</f>
        <v>0</v>
      </c>
      <c r="O18" s="80">
        <f>LARGE(D4:D9,2)</f>
        <v>0</v>
      </c>
      <c r="P18" s="80">
        <f>IF(AND(O17=Q17,O18&gt;Q18),1,0)</f>
        <v>0</v>
      </c>
      <c r="Q18" s="80">
        <f>LARGE(H4:H9,2)</f>
        <v>0</v>
      </c>
      <c r="R18" s="80">
        <f>IF(AND(Q17=O17,Q18&gt;O18),1,0)</f>
        <v>0</v>
      </c>
      <c r="S18" s="67"/>
      <c r="T18" s="67"/>
      <c r="U18" s="61"/>
      <c r="V18" s="64" t="s">
        <v>79</v>
      </c>
      <c r="W18" s="61"/>
    </row>
    <row r="19" spans="1:23" x14ac:dyDescent="0.2">
      <c r="A19" s="67"/>
      <c r="B19" s="67"/>
      <c r="C19" s="67"/>
      <c r="D19" s="67"/>
      <c r="E19" s="67"/>
      <c r="F19" s="67"/>
      <c r="G19" s="67"/>
      <c r="H19" s="67"/>
      <c r="I19" s="67"/>
      <c r="J19" s="67"/>
      <c r="M19" s="82">
        <f>SUM(M17:M18)</f>
        <v>1</v>
      </c>
      <c r="N19" s="82">
        <f>SUM(N17:N18)</f>
        <v>1</v>
      </c>
      <c r="O19" s="80">
        <f>LARGE(D4:D9,3)</f>
        <v>0</v>
      </c>
      <c r="P19" s="80">
        <f>IF(AND(O17=Q17,O18=Q18,AND(O19&gt;Q19)),1,0)</f>
        <v>0</v>
      </c>
      <c r="Q19" s="80">
        <f>LARGE(H4:H9,3)</f>
        <v>0</v>
      </c>
      <c r="R19" s="80">
        <f>IF(AND(Q17=O17,Q18=O18,AND(Q19&gt;O19)),1,0)</f>
        <v>0</v>
      </c>
      <c r="S19" s="67"/>
      <c r="T19" s="67"/>
      <c r="U19" s="61"/>
      <c r="V19" s="61"/>
      <c r="W19" s="61"/>
    </row>
    <row r="20" spans="1:23" ht="14.25" x14ac:dyDescent="0.2">
      <c r="A20" s="67"/>
      <c r="B20" s="67"/>
      <c r="C20" s="67"/>
      <c r="D20" s="67"/>
      <c r="E20" s="67"/>
      <c r="F20" s="67"/>
      <c r="G20" s="67"/>
      <c r="H20" s="67"/>
      <c r="I20" s="67"/>
      <c r="J20" s="67"/>
      <c r="O20" s="79"/>
      <c r="P20" s="81">
        <f>SUM(P17:P19)</f>
        <v>0</v>
      </c>
      <c r="Q20" s="79"/>
      <c r="R20" s="81">
        <f>SUM(R17:R19)</f>
        <v>0</v>
      </c>
      <c r="S20" s="67"/>
      <c r="T20" s="67"/>
      <c r="U20" s="61"/>
      <c r="V20" s="61" t="s">
        <v>6</v>
      </c>
      <c r="W20" s="61" t="s">
        <v>18</v>
      </c>
    </row>
    <row r="21" spans="1:23" x14ac:dyDescent="0.2">
      <c r="A21" s="67"/>
      <c r="B21" s="67"/>
      <c r="C21" s="67"/>
      <c r="D21" s="67"/>
      <c r="E21" s="67"/>
      <c r="F21" s="67"/>
      <c r="G21" s="67"/>
      <c r="H21" s="67"/>
      <c r="I21" s="67"/>
      <c r="J21" s="67"/>
      <c r="K21" s="67"/>
      <c r="L21" s="67"/>
      <c r="M21" s="67"/>
      <c r="N21" s="67"/>
      <c r="O21" s="67"/>
      <c r="P21" s="67"/>
      <c r="Q21" s="67"/>
      <c r="R21" s="67"/>
      <c r="S21" s="67"/>
      <c r="T21" s="67"/>
      <c r="U21" s="61"/>
      <c r="V21" s="61" t="s">
        <v>13</v>
      </c>
      <c r="W21" s="61" t="s">
        <v>73</v>
      </c>
    </row>
    <row r="22" spans="1:23" x14ac:dyDescent="0.2">
      <c r="A22" s="67"/>
      <c r="B22" s="67"/>
      <c r="C22" s="67"/>
      <c r="D22" s="67"/>
      <c r="E22" s="67"/>
      <c r="F22" s="67"/>
      <c r="G22" s="67"/>
      <c r="H22" s="67"/>
      <c r="I22" s="67"/>
      <c r="J22" s="67"/>
      <c r="K22" s="67"/>
      <c r="L22" s="67"/>
      <c r="M22" s="67"/>
      <c r="N22" s="67"/>
      <c r="O22" s="67"/>
      <c r="P22" s="67"/>
      <c r="Q22" s="67"/>
      <c r="R22" s="67"/>
      <c r="S22" s="67"/>
      <c r="T22" s="67"/>
      <c r="U22" s="61"/>
      <c r="V22" s="61" t="s">
        <v>7</v>
      </c>
      <c r="W22" s="61" t="s">
        <v>135</v>
      </c>
    </row>
    <row r="23" spans="1:23" x14ac:dyDescent="0.2">
      <c r="A23" s="67"/>
      <c r="B23" s="75" t="s">
        <v>22</v>
      </c>
      <c r="C23" s="75" t="s">
        <v>23</v>
      </c>
      <c r="D23" s="75" t="s">
        <v>139</v>
      </c>
      <c r="E23" s="75"/>
      <c r="F23" s="75" t="s">
        <v>22</v>
      </c>
      <c r="G23" s="75" t="s">
        <v>23</v>
      </c>
      <c r="H23" s="75" t="s">
        <v>139</v>
      </c>
      <c r="I23" s="75"/>
      <c r="J23" s="75"/>
      <c r="K23" s="87" t="s">
        <v>140</v>
      </c>
      <c r="L23" s="75"/>
      <c r="M23" s="75"/>
      <c r="N23" s="75"/>
      <c r="O23" s="75"/>
      <c r="P23" s="75"/>
      <c r="Q23" s="75"/>
      <c r="R23" s="75"/>
      <c r="S23" s="67"/>
      <c r="T23" s="67"/>
      <c r="U23" s="61"/>
      <c r="V23" s="66" t="s">
        <v>86</v>
      </c>
      <c r="W23" s="66" t="s">
        <v>19</v>
      </c>
    </row>
    <row r="24" spans="1:23" x14ac:dyDescent="0.2">
      <c r="A24" s="67"/>
      <c r="B24" s="77">
        <f>Formular!F16</f>
        <v>0</v>
      </c>
      <c r="C24" s="76">
        <f>Formular!N16</f>
        <v>0</v>
      </c>
      <c r="D24" s="76">
        <f>IF(O24=O30,H24,INDEX(R24:R35,MATCH(B24,P24:P35,0)))</f>
        <v>0</v>
      </c>
      <c r="E24" s="67"/>
      <c r="F24" s="77">
        <f>Formular!X16</f>
        <v>0</v>
      </c>
      <c r="G24" s="76">
        <f>Formular!AF16</f>
        <v>0</v>
      </c>
      <c r="H24" s="76">
        <f>INDEX(R24:R35,MATCH(F24,P24:P35,0))</f>
        <v>0</v>
      </c>
      <c r="I24" s="75"/>
      <c r="J24" s="75"/>
      <c r="K24" s="67">
        <f t="shared" ref="K24:L29" si="4">B24</f>
        <v>0</v>
      </c>
      <c r="L24" s="75">
        <f t="shared" si="4"/>
        <v>0</v>
      </c>
      <c r="M24" s="75">
        <f>L24-ROW(O25)/1000000</f>
        <v>-2.5000000000000001E-5</v>
      </c>
      <c r="N24" s="75">
        <f>IF(IF(COUNTIF($C24:$C29,"&gt;0")=6,M24=MIN($M24:$M29))=FALSE,M24,0.001)</f>
        <v>-2.5000000000000001E-5</v>
      </c>
      <c r="O24" s="75">
        <f>IF(N24=0,0,IF(N24&lt;1,0,L24))</f>
        <v>0</v>
      </c>
      <c r="P24" s="67">
        <f>INDEX(K24:K35,MATCH(LARGE(N24:N35,ROW(A$1)),N24:N35,0))</f>
        <v>0</v>
      </c>
      <c r="Q24" s="75">
        <f>LARGE(O24:O35,ROW(A$1))</f>
        <v>0</v>
      </c>
      <c r="R24" s="75">
        <f>IF(Q24=0,0,10)</f>
        <v>0</v>
      </c>
      <c r="S24" s="67"/>
      <c r="T24" s="67"/>
      <c r="U24" s="61"/>
      <c r="V24" s="61" t="s">
        <v>85</v>
      </c>
      <c r="W24" s="61" t="s">
        <v>69</v>
      </c>
    </row>
    <row r="25" spans="1:23" x14ac:dyDescent="0.2">
      <c r="A25" s="67"/>
      <c r="B25" s="77">
        <f>Formular!F17</f>
        <v>0</v>
      </c>
      <c r="C25" s="76">
        <f>Formular!N17</f>
        <v>0</v>
      </c>
      <c r="D25" s="76">
        <f>IF(O25=O31,H25,INDEX(R24:R35,MATCH(B25,P24:P35,0)))</f>
        <v>0</v>
      </c>
      <c r="E25" s="67"/>
      <c r="F25" s="77">
        <f>Formular!X17</f>
        <v>0</v>
      </c>
      <c r="G25" s="76">
        <f>Formular!AF17</f>
        <v>0</v>
      </c>
      <c r="H25" s="76">
        <f>INDEX(R24:R35,MATCH(F25,P24:P35,0))</f>
        <v>0</v>
      </c>
      <c r="I25" s="75"/>
      <c r="J25" s="75"/>
      <c r="K25" s="67">
        <f t="shared" si="4"/>
        <v>0</v>
      </c>
      <c r="L25" s="75">
        <f t="shared" si="4"/>
        <v>0</v>
      </c>
      <c r="M25" s="75">
        <f>L25-ROW(O27)/1000000</f>
        <v>-2.6999999999999999E-5</v>
      </c>
      <c r="N25" s="75">
        <f>IF(IF(COUNTIF($C24:$C29,"&gt;0")=6,M25=MIN($M24:$M29))=FALSE,M25,0.002)</f>
        <v>-2.6999999999999999E-5</v>
      </c>
      <c r="O25" s="75">
        <f t="shared" ref="O25:O35" si="5">IF(N25=0,0,IF(N25&lt;1,0,L25))</f>
        <v>0</v>
      </c>
      <c r="P25" s="67">
        <f>INDEX(K24:K35,MATCH(LARGE(N24:N35,ROW(A$2)),N24:N35,0))</f>
        <v>0</v>
      </c>
      <c r="Q25" s="75">
        <f>LARGE(O24:O35,ROW(A$2))</f>
        <v>0</v>
      </c>
      <c r="R25" s="75">
        <f>IF(Q25=0,0,9)</f>
        <v>0</v>
      </c>
      <c r="S25" s="67"/>
      <c r="T25" s="67"/>
      <c r="U25" s="61"/>
      <c r="V25" s="66" t="s">
        <v>130</v>
      </c>
      <c r="W25" s="61" t="s">
        <v>162</v>
      </c>
    </row>
    <row r="26" spans="1:23" x14ac:dyDescent="0.2">
      <c r="A26" s="67"/>
      <c r="B26" s="77">
        <f>Formular!F18</f>
        <v>0</v>
      </c>
      <c r="C26" s="76">
        <f>Formular!N18</f>
        <v>0</v>
      </c>
      <c r="D26" s="76">
        <f>IF(O26=O32,H26,INDEX(R24:R35,MATCH(B26,P24:P35,0)))</f>
        <v>0</v>
      </c>
      <c r="E26" s="67"/>
      <c r="F26" s="77">
        <f>Formular!X18</f>
        <v>0</v>
      </c>
      <c r="G26" s="76">
        <f>Formular!AF18</f>
        <v>0</v>
      </c>
      <c r="H26" s="76">
        <f>INDEX(R24:R35,MATCH(F26,P24:P35,0))</f>
        <v>0</v>
      </c>
      <c r="I26" s="75"/>
      <c r="J26" s="75"/>
      <c r="K26" s="67">
        <f t="shared" si="4"/>
        <v>0</v>
      </c>
      <c r="L26" s="75">
        <f t="shared" si="4"/>
        <v>0</v>
      </c>
      <c r="M26" s="75">
        <f>L26-ROW(O29)/1000000</f>
        <v>-2.9E-5</v>
      </c>
      <c r="N26" s="75">
        <f>IF(IF(COUNTIF($C24:$C29,"&gt;0")=6,M26=MIN($M24:$M29))=FALSE,M26,0.003)</f>
        <v>-2.9E-5</v>
      </c>
      <c r="O26" s="75">
        <f t="shared" si="5"/>
        <v>0</v>
      </c>
      <c r="P26" s="67">
        <f>INDEX(K24:K35,MATCH(LARGE(N24:N35,ROW(A$3)),N24:N35,0))</f>
        <v>0</v>
      </c>
      <c r="Q26" s="75">
        <f>LARGE(O24:O35,ROW(A$3))</f>
        <v>0</v>
      </c>
      <c r="R26" s="75">
        <f>IF(Q26=0,0,8)</f>
        <v>0</v>
      </c>
      <c r="S26" s="67"/>
      <c r="T26" s="67"/>
      <c r="U26" s="61"/>
      <c r="V26" s="66" t="s">
        <v>10</v>
      </c>
      <c r="W26" s="66" t="s">
        <v>24</v>
      </c>
    </row>
    <row r="27" spans="1:23" x14ac:dyDescent="0.2">
      <c r="A27" s="67"/>
      <c r="B27" s="77">
        <f>Formular!F19</f>
        <v>0</v>
      </c>
      <c r="C27" s="76">
        <f>Formular!N19</f>
        <v>0</v>
      </c>
      <c r="D27" s="76">
        <f>IF(O27=O33,H27,INDEX(R24:R35,MATCH(B27,P24:P35,0)))</f>
        <v>0</v>
      </c>
      <c r="E27" s="67"/>
      <c r="F27" s="77">
        <f>Formular!X19</f>
        <v>0</v>
      </c>
      <c r="G27" s="76">
        <f>Formular!AF19</f>
        <v>0</v>
      </c>
      <c r="H27" s="76">
        <f>INDEX(R24:R35,MATCH(F27,P24:P35,0))</f>
        <v>0</v>
      </c>
      <c r="I27" s="75"/>
      <c r="J27" s="75"/>
      <c r="K27" s="67">
        <f t="shared" si="4"/>
        <v>0</v>
      </c>
      <c r="L27" s="75">
        <f t="shared" si="4"/>
        <v>0</v>
      </c>
      <c r="M27" s="75">
        <f>L27-ROW(O31)/1000000</f>
        <v>-3.1000000000000001E-5</v>
      </c>
      <c r="N27" s="75">
        <f>IF(IF(COUNTIF($C24:$C29,"&gt;0")=6,M27=MIN($M24:$M29))=FALSE,M27,0.004)</f>
        <v>-3.1000000000000001E-5</v>
      </c>
      <c r="O27" s="75">
        <f t="shared" si="5"/>
        <v>0</v>
      </c>
      <c r="P27" s="67">
        <f>INDEX(K24:K35,MATCH(LARGE(N24:N35,ROW(A$4)),N24:N35,0))</f>
        <v>0</v>
      </c>
      <c r="Q27" s="75">
        <f>LARGE(O24:O35,ROW(A$4))</f>
        <v>0</v>
      </c>
      <c r="R27" s="75">
        <f>IF(Q27=0,0,7)</f>
        <v>0</v>
      </c>
      <c r="S27" s="67"/>
      <c r="T27" s="67"/>
      <c r="U27" s="61"/>
      <c r="V27" s="61" t="s">
        <v>163</v>
      </c>
      <c r="W27" s="66" t="s">
        <v>164</v>
      </c>
    </row>
    <row r="28" spans="1:23" x14ac:dyDescent="0.2">
      <c r="A28" s="67"/>
      <c r="B28" s="77">
        <f>Formular!F20</f>
        <v>0</v>
      </c>
      <c r="C28" s="76">
        <f>Formular!N20</f>
        <v>0</v>
      </c>
      <c r="D28" s="76">
        <f>IF(O28=O34,H28,INDEX(R24:R35,MATCH(B28,P24:P35,0)))</f>
        <v>0</v>
      </c>
      <c r="E28" s="67"/>
      <c r="F28" s="77">
        <f>Formular!X20</f>
        <v>0</v>
      </c>
      <c r="G28" s="76">
        <f>Formular!AF20</f>
        <v>0</v>
      </c>
      <c r="H28" s="76">
        <f>INDEX(R24:R35,MATCH(F28,P24:P35,0))</f>
        <v>0</v>
      </c>
      <c r="I28" s="75"/>
      <c r="J28" s="75"/>
      <c r="K28" s="67">
        <f t="shared" si="4"/>
        <v>0</v>
      </c>
      <c r="L28" s="75">
        <f t="shared" si="4"/>
        <v>0</v>
      </c>
      <c r="M28" s="75">
        <f>L28-ROW(O33)/1000000</f>
        <v>-3.3000000000000003E-5</v>
      </c>
      <c r="N28" s="75">
        <f>IF(IF(COUNTIF($C24:$C29,"&gt;0")=6,M28=MIN($M24:$M29))=FALSE,M28,0.005)</f>
        <v>-3.3000000000000003E-5</v>
      </c>
      <c r="O28" s="75">
        <f t="shared" si="5"/>
        <v>0</v>
      </c>
      <c r="P28" s="67">
        <f>INDEX(K24:K35,MATCH(LARGE(N24:N35,ROW(A$5)),N24:N35,0))</f>
        <v>0</v>
      </c>
      <c r="Q28" s="75">
        <f>LARGE(O24:O35,ROW(A$5))</f>
        <v>0</v>
      </c>
      <c r="R28" s="75">
        <f>IF(Q28=0,0,6)</f>
        <v>0</v>
      </c>
      <c r="S28" s="67"/>
      <c r="T28" s="67"/>
      <c r="U28" s="61"/>
      <c r="V28" s="66"/>
      <c r="W28" s="61"/>
    </row>
    <row r="29" spans="1:23" x14ac:dyDescent="0.2">
      <c r="A29" s="67"/>
      <c r="B29" s="77">
        <f>Formular!F21</f>
        <v>0</v>
      </c>
      <c r="C29" s="76">
        <f>Formular!N21</f>
        <v>0</v>
      </c>
      <c r="D29" s="76">
        <f>IF(O29=O35,H29,INDEX(R24:R35,MATCH(B29,P24:P35,0)))</f>
        <v>0</v>
      </c>
      <c r="E29" s="67"/>
      <c r="F29" s="77">
        <f>Formular!X21</f>
        <v>0</v>
      </c>
      <c r="G29" s="76">
        <f>Formular!AF21</f>
        <v>0</v>
      </c>
      <c r="H29" s="76">
        <f>INDEX(R24:R35,MATCH(F29,P24:P35,0))</f>
        <v>0</v>
      </c>
      <c r="I29" s="75"/>
      <c r="J29" s="75"/>
      <c r="K29" s="67">
        <f t="shared" si="4"/>
        <v>0</v>
      </c>
      <c r="L29" s="75">
        <f t="shared" si="4"/>
        <v>0</v>
      </c>
      <c r="M29" s="75">
        <f>L29-ROW(O35)/1000000</f>
        <v>-3.4999999999999997E-5</v>
      </c>
      <c r="N29" s="75">
        <f>IF(IF(COUNTIF($C24:$C29,"&gt;0")=6,M29=MIN($M24:$M29))=FALSE,M29,0.006)</f>
        <v>-3.4999999999999997E-5</v>
      </c>
      <c r="O29" s="75">
        <f t="shared" si="5"/>
        <v>0</v>
      </c>
      <c r="P29" s="67">
        <f>INDEX(K24:K35,MATCH(LARGE(N24:N35,ROW(A$6)),N24:N35,0))</f>
        <v>0</v>
      </c>
      <c r="Q29" s="75">
        <f>LARGE(O24:O35,ROW(A$6))</f>
        <v>0</v>
      </c>
      <c r="R29" s="75">
        <f>IF(Q29=0,0,5)</f>
        <v>0</v>
      </c>
      <c r="S29" s="67"/>
      <c r="T29" s="67"/>
      <c r="U29" s="61"/>
      <c r="V29" s="64" t="s">
        <v>80</v>
      </c>
      <c r="W29" s="61"/>
    </row>
    <row r="30" spans="1:23" x14ac:dyDescent="0.2">
      <c r="A30" s="67"/>
      <c r="B30" s="67"/>
      <c r="C30" s="67"/>
      <c r="D30" s="67"/>
      <c r="E30" s="67"/>
      <c r="F30" s="67"/>
      <c r="G30" s="67"/>
      <c r="H30" s="67"/>
      <c r="I30" s="67"/>
      <c r="J30" s="67"/>
      <c r="K30" s="78">
        <f>F24</f>
        <v>0</v>
      </c>
      <c r="L30" s="75">
        <f>G24</f>
        <v>0</v>
      </c>
      <c r="M30" s="75">
        <f>L30-ROW(O24)/1000000</f>
        <v>-2.4000000000000001E-5</v>
      </c>
      <c r="N30" s="75">
        <f>IF(IF(COUNTIF($G24:$G29,"&gt;0")=6,M30=MIN($M30:$M35))=FALSE,M30,0.007)</f>
        <v>-2.4000000000000001E-5</v>
      </c>
      <c r="O30" s="75">
        <f t="shared" si="5"/>
        <v>0</v>
      </c>
      <c r="P30" s="67">
        <f>INDEX(K24:K35,MATCH(LARGE(N24:N35,ROW(A$7)),N24:N35,0))</f>
        <v>0</v>
      </c>
      <c r="Q30" s="75">
        <f>LARGE(O24:O35,ROW(A$7))</f>
        <v>0</v>
      </c>
      <c r="R30" s="75">
        <f>IF(Q30=0,0,4)</f>
        <v>0</v>
      </c>
      <c r="S30" s="67"/>
      <c r="T30" s="67"/>
      <c r="U30" s="61"/>
      <c r="V30" s="64"/>
      <c r="W30" s="61"/>
    </row>
    <row r="31" spans="1:23" x14ac:dyDescent="0.2">
      <c r="A31" s="67"/>
      <c r="B31" s="67"/>
      <c r="C31" s="75">
        <f>SUM(C24:C29)-MIN(C24:C29)</f>
        <v>0</v>
      </c>
      <c r="D31" s="75">
        <f>SUM(D24:D29)</f>
        <v>0</v>
      </c>
      <c r="E31" s="67"/>
      <c r="F31" s="67"/>
      <c r="G31" s="75">
        <f>SUM(G24:G29)-MIN(G24:G29)</f>
        <v>0</v>
      </c>
      <c r="H31" s="75">
        <f>SUM(H24:H29)</f>
        <v>0</v>
      </c>
      <c r="I31" s="67"/>
      <c r="J31" s="67"/>
      <c r="K31" s="67">
        <f t="shared" ref="K31:K35" si="6">F25</f>
        <v>0</v>
      </c>
      <c r="L31" s="75">
        <f t="shared" ref="L31:L35" si="7">G25</f>
        <v>0</v>
      </c>
      <c r="M31" s="75">
        <f>L31-ROW(O26)/1000000</f>
        <v>-2.5999999999999998E-5</v>
      </c>
      <c r="N31" s="75">
        <f>IF(IF(COUNTIF($G24:$G29,"&gt;0")=6,M31=MIN($M30:$M35))=FALSE,M31,0.008)</f>
        <v>-2.5999999999999998E-5</v>
      </c>
      <c r="O31" s="75">
        <f t="shared" si="5"/>
        <v>0</v>
      </c>
      <c r="P31" s="67">
        <f>INDEX(K24:K35,MATCH(LARGE(N24:N35,ROW(A$8)),N24:N35,0))</f>
        <v>0</v>
      </c>
      <c r="Q31" s="75">
        <f>LARGE(O24:O35,ROW(A$8))</f>
        <v>0</v>
      </c>
      <c r="R31" s="75">
        <f>IF(Q31=0,0,3)</f>
        <v>0</v>
      </c>
      <c r="S31" s="67"/>
      <c r="T31" s="67"/>
      <c r="U31" s="61"/>
      <c r="V31" s="61" t="s">
        <v>8</v>
      </c>
      <c r="W31" s="61" t="s">
        <v>83</v>
      </c>
    </row>
    <row r="32" spans="1:23" x14ac:dyDescent="0.2">
      <c r="A32" s="67"/>
      <c r="B32" s="67"/>
      <c r="C32" s="67"/>
      <c r="D32" s="83">
        <f>IF(C31+G31=0,0,IF(M39=0,"0",IF(M39=1,1,IF(M39=2,2,IF(M39=3,3)))))</f>
        <v>0</v>
      </c>
      <c r="E32" s="67"/>
      <c r="F32" s="67"/>
      <c r="G32" s="67"/>
      <c r="H32" s="75">
        <f>IF(C31+G31=0,0,IF(N39=0,"0",IF(N39=1,1,IF(N39=2,2,IF(N39=3,3)))))</f>
        <v>0</v>
      </c>
      <c r="I32" s="67"/>
      <c r="J32" s="67"/>
      <c r="K32" s="67">
        <f t="shared" si="6"/>
        <v>0</v>
      </c>
      <c r="L32" s="75">
        <f t="shared" si="7"/>
        <v>0</v>
      </c>
      <c r="M32" s="75">
        <f>L32-ROW(O28)/1000000</f>
        <v>-2.8E-5</v>
      </c>
      <c r="N32" s="75">
        <f>IF(IF(COUNTIF($G24:$G29,"&gt;0")=6,M32=MIN($M30:$M35))=FALSE,M32,0.009)</f>
        <v>-2.8E-5</v>
      </c>
      <c r="O32" s="75">
        <f t="shared" si="5"/>
        <v>0</v>
      </c>
      <c r="P32" s="67">
        <f>INDEX(K24:K35,MATCH(LARGE(N24:N35,ROW(A$9)),N24:N35,0))</f>
        <v>0</v>
      </c>
      <c r="Q32" s="75">
        <f>LARGE(O24:O35,ROW(A$9))</f>
        <v>0</v>
      </c>
      <c r="R32" s="75">
        <f>IF(Q32=0,0,2)</f>
        <v>0</v>
      </c>
      <c r="S32" s="67"/>
      <c r="T32" s="67"/>
      <c r="U32" s="61"/>
      <c r="V32" s="66" t="s">
        <v>3</v>
      </c>
      <c r="W32" s="61" t="s">
        <v>133</v>
      </c>
    </row>
    <row r="33" spans="1:23" x14ac:dyDescent="0.2">
      <c r="A33" s="67"/>
      <c r="B33" s="67"/>
      <c r="C33" s="67"/>
      <c r="D33" s="67"/>
      <c r="E33" s="67"/>
      <c r="F33" s="67"/>
      <c r="G33" s="67"/>
      <c r="H33" s="67"/>
      <c r="I33" s="67"/>
      <c r="J33" s="67"/>
      <c r="K33" s="67">
        <f t="shared" si="6"/>
        <v>0</v>
      </c>
      <c r="L33" s="75">
        <f t="shared" si="7"/>
        <v>0</v>
      </c>
      <c r="M33" s="75">
        <f>L33-ROW(O30)/1000000</f>
        <v>-3.0000000000000001E-5</v>
      </c>
      <c r="N33" s="75">
        <f>IF(IF(COUNTIF($G24:$G29,"&gt;0")=6,M33=MIN($M30:$M35))=FALSE,M33,0.01)</f>
        <v>-3.0000000000000001E-5</v>
      </c>
      <c r="O33" s="75">
        <f t="shared" si="5"/>
        <v>0</v>
      </c>
      <c r="P33" s="67">
        <f>INDEX(K24:K35,MATCH(LARGE(N24:N35,ROW(A$10)),N24:N35,0))</f>
        <v>0</v>
      </c>
      <c r="Q33" s="75">
        <f>LARGE(O24:O35,ROW(A$10))</f>
        <v>0</v>
      </c>
      <c r="R33" s="75">
        <f>IF(Q33=0,0,1)</f>
        <v>0</v>
      </c>
      <c r="S33" s="67"/>
      <c r="T33" s="67"/>
      <c r="U33" s="61"/>
      <c r="V33" s="61" t="s">
        <v>131</v>
      </c>
      <c r="W33" s="61" t="s">
        <v>90</v>
      </c>
    </row>
    <row r="34" spans="1:23" x14ac:dyDescent="0.2">
      <c r="A34" s="67"/>
      <c r="B34" s="67"/>
      <c r="C34" s="67"/>
      <c r="D34" s="67"/>
      <c r="E34" s="67"/>
      <c r="F34" s="67"/>
      <c r="G34" s="67"/>
      <c r="H34" s="67"/>
      <c r="I34" s="67"/>
      <c r="J34" s="67"/>
      <c r="K34" s="67">
        <f t="shared" si="6"/>
        <v>0</v>
      </c>
      <c r="L34" s="75">
        <f t="shared" si="7"/>
        <v>0</v>
      </c>
      <c r="M34" s="75">
        <f>L34-ROW(O32)/1000000</f>
        <v>-3.1999999999999999E-5</v>
      </c>
      <c r="N34" s="75">
        <f>IF(IF(COUNTIF($G24:$G29,"&gt;0")=6,M34=MIN($M30:$M35))=FALSE,M34,0.011)</f>
        <v>-3.1999999999999999E-5</v>
      </c>
      <c r="O34" s="75">
        <f t="shared" si="5"/>
        <v>0</v>
      </c>
      <c r="P34" s="67">
        <f>INDEX(K24:K35,MATCH(LARGE(N24:N35,ROW(A$11)),N24:N35,0))</f>
        <v>0</v>
      </c>
      <c r="Q34" s="75">
        <v>0</v>
      </c>
      <c r="R34" s="75">
        <v>0</v>
      </c>
      <c r="S34" s="67"/>
      <c r="T34" s="67"/>
      <c r="U34" s="61"/>
      <c r="V34" s="66" t="s">
        <v>112</v>
      </c>
      <c r="W34" s="61" t="s">
        <v>111</v>
      </c>
    </row>
    <row r="35" spans="1:23" x14ac:dyDescent="0.2">
      <c r="A35" s="67"/>
      <c r="B35" s="67"/>
      <c r="C35" s="67"/>
      <c r="D35" s="67"/>
      <c r="E35" s="67"/>
      <c r="F35" s="67"/>
      <c r="G35" s="67"/>
      <c r="H35" s="67"/>
      <c r="I35" s="67"/>
      <c r="J35" s="67"/>
      <c r="K35" s="67">
        <f t="shared" si="6"/>
        <v>0</v>
      </c>
      <c r="L35" s="75">
        <f t="shared" si="7"/>
        <v>0</v>
      </c>
      <c r="M35" s="75">
        <f>L35-ROW(O34)/1000000</f>
        <v>-3.4E-5</v>
      </c>
      <c r="N35" s="75">
        <f>IF(IF(COUNTIF($G24:$G29,"&gt;0")=6,M35=MIN($M30:$M35))=FALSE,M35,0.012)</f>
        <v>-3.4E-5</v>
      </c>
      <c r="O35" s="75">
        <f t="shared" si="5"/>
        <v>0</v>
      </c>
      <c r="P35" s="67">
        <f>INDEX(K24:K35,MATCH(LARGE(N24:N35,ROW(A$12)),N24:N35,0))</f>
        <v>0</v>
      </c>
      <c r="Q35" s="75">
        <v>0</v>
      </c>
      <c r="R35" s="75">
        <v>0</v>
      </c>
      <c r="S35" s="67"/>
      <c r="T35" s="67"/>
      <c r="U35" s="61"/>
      <c r="V35" s="66" t="s">
        <v>132</v>
      </c>
      <c r="W35" s="66" t="s">
        <v>136</v>
      </c>
    </row>
    <row r="36" spans="1:23" x14ac:dyDescent="0.2">
      <c r="A36" s="67"/>
      <c r="B36" s="67"/>
      <c r="C36" s="67"/>
      <c r="D36" s="67"/>
      <c r="E36" s="67"/>
      <c r="F36" s="67"/>
      <c r="G36" s="67"/>
      <c r="H36" s="67"/>
      <c r="I36" s="67"/>
      <c r="J36" s="67"/>
      <c r="K36" s="67"/>
      <c r="L36" s="67"/>
      <c r="M36" s="67"/>
      <c r="N36" s="67"/>
      <c r="O36" s="67"/>
      <c r="P36" s="67"/>
      <c r="Q36" s="67"/>
      <c r="R36" s="67"/>
      <c r="S36" s="67"/>
      <c r="T36" s="67"/>
      <c r="U36" s="61"/>
      <c r="V36" s="66" t="s">
        <v>113</v>
      </c>
      <c r="W36" s="66" t="s">
        <v>166</v>
      </c>
    </row>
    <row r="37" spans="1:23" x14ac:dyDescent="0.2">
      <c r="A37" s="67"/>
      <c r="B37" s="67"/>
      <c r="C37" s="67"/>
      <c r="D37" s="67"/>
      <c r="E37" s="67"/>
      <c r="F37" s="67"/>
      <c r="G37" s="67"/>
      <c r="H37" s="67"/>
      <c r="I37" s="67"/>
      <c r="J37" s="67"/>
      <c r="M37" s="84">
        <f>IF(C31&gt;G31,2,IF(C31=G31,1,0))</f>
        <v>1</v>
      </c>
      <c r="N37" s="83">
        <f>IF(G31&gt;C31,2,IF(G31=C31,1,0))</f>
        <v>1</v>
      </c>
      <c r="O37" s="80">
        <f>LARGE(D24:D29,1)</f>
        <v>0</v>
      </c>
      <c r="P37" s="80">
        <f>IF(O37&gt;Q37,1,0)</f>
        <v>0</v>
      </c>
      <c r="Q37" s="80">
        <f>LARGE(H24:H29,1)</f>
        <v>0</v>
      </c>
      <c r="R37" s="80">
        <f>IF(Q37&gt;O37,1,0)</f>
        <v>0</v>
      </c>
      <c r="S37" s="67"/>
      <c r="T37" s="67"/>
      <c r="U37" s="61"/>
      <c r="V37" s="61" t="s">
        <v>82</v>
      </c>
      <c r="W37" s="66" t="s">
        <v>30</v>
      </c>
    </row>
    <row r="38" spans="1:23" x14ac:dyDescent="0.2">
      <c r="A38" s="67"/>
      <c r="B38" s="67"/>
      <c r="C38" s="67"/>
      <c r="D38" s="67"/>
      <c r="E38" s="67"/>
      <c r="F38" s="67"/>
      <c r="G38" s="67"/>
      <c r="H38" s="67"/>
      <c r="I38" s="67"/>
      <c r="J38" s="67"/>
      <c r="M38" s="85">
        <f>IF(D31&gt;H31,1,IF(D31=H31,P40,0))</f>
        <v>0</v>
      </c>
      <c r="N38" s="86">
        <f>IF(H31&gt;D31,1,IF(H31=D31,R40,0))</f>
        <v>0</v>
      </c>
      <c r="O38" s="80">
        <f>LARGE(D24:D29,2)</f>
        <v>0</v>
      </c>
      <c r="P38" s="80">
        <f>IF(AND(O37=Q37,O38&gt;Q38),1,0)</f>
        <v>0</v>
      </c>
      <c r="Q38" s="80">
        <f>LARGE(H24:H29,2)</f>
        <v>0</v>
      </c>
      <c r="R38" s="80">
        <f>IF(AND(Q37=O37,Q38&gt;O38),1,0)</f>
        <v>0</v>
      </c>
      <c r="S38" s="67"/>
      <c r="T38" s="67"/>
      <c r="U38" s="61"/>
      <c r="V38" s="66" t="s">
        <v>165</v>
      </c>
      <c r="W38" s="61" t="s">
        <v>87</v>
      </c>
    </row>
    <row r="39" spans="1:23" x14ac:dyDescent="0.2">
      <c r="A39" s="67"/>
      <c r="B39" s="67"/>
      <c r="C39" s="67"/>
      <c r="D39" s="67"/>
      <c r="E39" s="67"/>
      <c r="F39" s="67"/>
      <c r="G39" s="67"/>
      <c r="H39" s="67"/>
      <c r="I39" s="67"/>
      <c r="J39" s="67"/>
      <c r="M39" s="82">
        <f>SUM(M37:M38)</f>
        <v>1</v>
      </c>
      <c r="N39" s="82">
        <f>SUM(N37:N38)</f>
        <v>1</v>
      </c>
      <c r="O39" s="80">
        <f>LARGE(D24:D29,3)</f>
        <v>0</v>
      </c>
      <c r="P39" s="80">
        <f>IF(AND(O37=Q37,O38=Q38,AND(O39&gt;Q39)),1,0)</f>
        <v>0</v>
      </c>
      <c r="Q39" s="80">
        <f>LARGE(H24:H29,3)</f>
        <v>0</v>
      </c>
      <c r="R39" s="80">
        <f>IF(AND(Q37=O37,Q38=O38,AND(Q39&gt;O39)),1,0)</f>
        <v>0</v>
      </c>
      <c r="S39" s="67"/>
      <c r="T39" s="67"/>
      <c r="U39" s="61"/>
      <c r="V39" s="66"/>
      <c r="W39" s="66"/>
    </row>
    <row r="40" spans="1:23" ht="14.25" x14ac:dyDescent="0.2">
      <c r="A40" s="67"/>
      <c r="B40" s="67"/>
      <c r="C40" s="67"/>
      <c r="D40" s="67"/>
      <c r="E40" s="67"/>
      <c r="F40" s="67"/>
      <c r="G40" s="67"/>
      <c r="H40" s="67"/>
      <c r="I40" s="67"/>
      <c r="J40" s="67"/>
      <c r="O40" s="79"/>
      <c r="P40" s="81">
        <f>SUM(P37:P39)</f>
        <v>0</v>
      </c>
      <c r="Q40" s="79"/>
      <c r="R40" s="81">
        <f>SUM(R37:R39)</f>
        <v>0</v>
      </c>
      <c r="S40" s="67"/>
      <c r="T40" s="67"/>
      <c r="U40" s="61"/>
      <c r="V40" s="64" t="s">
        <v>81</v>
      </c>
      <c r="W40" s="66"/>
    </row>
    <row r="41" spans="1:23" x14ac:dyDescent="0.2">
      <c r="A41" s="67"/>
      <c r="B41" s="67"/>
      <c r="C41" s="67"/>
      <c r="D41" s="67"/>
      <c r="E41" s="67"/>
      <c r="F41" s="67"/>
      <c r="G41" s="67"/>
      <c r="H41" s="67"/>
      <c r="I41" s="67"/>
      <c r="J41" s="67"/>
      <c r="K41" s="67"/>
      <c r="L41" s="67"/>
      <c r="M41" s="67"/>
      <c r="N41" s="67"/>
      <c r="O41" s="67"/>
      <c r="P41" s="67"/>
      <c r="Q41" s="67"/>
      <c r="R41" s="67"/>
      <c r="S41" s="67"/>
      <c r="T41" s="67"/>
      <c r="U41" s="61"/>
      <c r="V41" s="61"/>
      <c r="W41" s="61"/>
    </row>
    <row r="42" spans="1:23" x14ac:dyDescent="0.2">
      <c r="A42" s="67"/>
      <c r="B42" s="67"/>
      <c r="C42" s="67"/>
      <c r="D42" s="67"/>
      <c r="E42" s="67"/>
      <c r="F42" s="67"/>
      <c r="G42" s="67"/>
      <c r="H42" s="67"/>
      <c r="I42" s="67"/>
      <c r="J42" s="67"/>
      <c r="K42" s="67"/>
      <c r="L42" s="67"/>
      <c r="M42" s="67"/>
      <c r="N42" s="67"/>
      <c r="O42" s="67"/>
      <c r="P42" s="67"/>
      <c r="Q42" s="67"/>
      <c r="R42" s="67"/>
      <c r="S42" s="67"/>
      <c r="T42" s="67"/>
      <c r="U42" s="61"/>
      <c r="V42" s="61" t="s">
        <v>14</v>
      </c>
      <c r="W42" s="66" t="s">
        <v>83</v>
      </c>
    </row>
    <row r="43" spans="1:23" x14ac:dyDescent="0.2">
      <c r="A43" s="67"/>
      <c r="B43" s="75" t="s">
        <v>22</v>
      </c>
      <c r="C43" s="75" t="s">
        <v>23</v>
      </c>
      <c r="D43" s="75" t="s">
        <v>139</v>
      </c>
      <c r="E43" s="75"/>
      <c r="F43" s="75" t="s">
        <v>22</v>
      </c>
      <c r="G43" s="75" t="s">
        <v>23</v>
      </c>
      <c r="H43" s="75" t="s">
        <v>139</v>
      </c>
      <c r="I43" s="75"/>
      <c r="J43" s="75"/>
      <c r="K43" s="87" t="s">
        <v>21</v>
      </c>
      <c r="L43" s="75"/>
      <c r="M43" s="75"/>
      <c r="N43" s="75"/>
      <c r="O43" s="75"/>
      <c r="P43" s="75"/>
      <c r="Q43" s="75"/>
      <c r="R43" s="75"/>
      <c r="S43" s="67"/>
      <c r="T43" s="67"/>
      <c r="U43" s="61"/>
      <c r="V43" s="66" t="s">
        <v>168</v>
      </c>
      <c r="W43" s="66" t="s">
        <v>169</v>
      </c>
    </row>
    <row r="44" spans="1:23" x14ac:dyDescent="0.2">
      <c r="A44" s="67"/>
      <c r="B44" s="77">
        <f>Formular!F16</f>
        <v>0</v>
      </c>
      <c r="C44" s="76">
        <f>Formular!N16</f>
        <v>0</v>
      </c>
      <c r="D44" s="76">
        <f>INDEX(P44:P55,MATCH(B44,N44:N55,0))</f>
        <v>12</v>
      </c>
      <c r="E44" s="67"/>
      <c r="F44" s="77">
        <f>Formular!X16</f>
        <v>0</v>
      </c>
      <c r="G44" s="76">
        <f>Formular!AF16</f>
        <v>0</v>
      </c>
      <c r="H44" s="76">
        <f>INDEX(P44:P55,MATCH(F44,N44:N55,0))</f>
        <v>12</v>
      </c>
      <c r="I44" s="75"/>
      <c r="J44" s="75"/>
      <c r="K44" s="67">
        <f t="shared" ref="K44:L49" si="8">B44</f>
        <v>0</v>
      </c>
      <c r="L44" s="75">
        <f t="shared" si="8"/>
        <v>0</v>
      </c>
      <c r="M44" s="75">
        <f>L44-ROW(O46)/1000000</f>
        <v>-4.6E-5</v>
      </c>
      <c r="N44" s="67">
        <f>INDEX(K44:K55,MATCH(LARGE(M44:M55,ROW(A$1)),M44:M55,0))</f>
        <v>0</v>
      </c>
      <c r="O44" s="75">
        <f>LARGE(M44:M55,ROW(A$1))</f>
        <v>-4.3999999999999999E-5</v>
      </c>
      <c r="P44" s="83">
        <f>IF(O44=0,0,12)</f>
        <v>12</v>
      </c>
      <c r="Q44" s="75"/>
      <c r="R44" s="75"/>
      <c r="S44" s="67"/>
      <c r="T44" s="67"/>
      <c r="U44" s="61"/>
      <c r="V44" s="61" t="s">
        <v>88</v>
      </c>
      <c r="W44" s="61" t="s">
        <v>91</v>
      </c>
    </row>
    <row r="45" spans="1:23" x14ac:dyDescent="0.2">
      <c r="A45" s="67"/>
      <c r="B45" s="77">
        <f>Formular!F17</f>
        <v>0</v>
      </c>
      <c r="C45" s="76">
        <f>Formular!N17</f>
        <v>0</v>
      </c>
      <c r="D45" s="76">
        <f>INDEX(P44:P55,MATCH(B45,N44:N55,0))</f>
        <v>12</v>
      </c>
      <c r="E45" s="67"/>
      <c r="F45" s="77">
        <f>Formular!X17</f>
        <v>0</v>
      </c>
      <c r="G45" s="76">
        <f>Formular!AF17</f>
        <v>0</v>
      </c>
      <c r="H45" s="76">
        <f>INDEX(P44:P55,MATCH(F45,N44:N55,0))</f>
        <v>12</v>
      </c>
      <c r="I45" s="75"/>
      <c r="J45" s="75"/>
      <c r="K45" s="67">
        <f t="shared" si="8"/>
        <v>0</v>
      </c>
      <c r="L45" s="75">
        <f t="shared" si="8"/>
        <v>0</v>
      </c>
      <c r="M45" s="75">
        <f>L45-ROW(O47)/1000000</f>
        <v>-4.6999999999999997E-5</v>
      </c>
      <c r="N45" s="67">
        <f>INDEX(K44:K55,MATCH(LARGE(M44:M55,ROW(A$2)),M44:M55,0))</f>
        <v>0</v>
      </c>
      <c r="O45" s="75">
        <f>LARGE(M44:M55,ROW(A$2))</f>
        <v>-4.5000000000000003E-5</v>
      </c>
      <c r="P45" s="83">
        <f>IF(O45=0,0,11)</f>
        <v>11</v>
      </c>
      <c r="Q45" s="75"/>
      <c r="R45" s="75"/>
      <c r="S45" s="67"/>
      <c r="T45" s="67"/>
      <c r="U45" s="61"/>
      <c r="V45" s="61" t="s">
        <v>67</v>
      </c>
      <c r="W45" s="61" t="s">
        <v>137</v>
      </c>
    </row>
    <row r="46" spans="1:23" x14ac:dyDescent="0.2">
      <c r="A46" s="67"/>
      <c r="B46" s="77">
        <f>Formular!F18</f>
        <v>0</v>
      </c>
      <c r="C46" s="76">
        <f>Formular!N18</f>
        <v>0</v>
      </c>
      <c r="D46" s="76">
        <f>INDEX(P44:P55,MATCH(B46,N44:N55,0))</f>
        <v>12</v>
      </c>
      <c r="E46" s="67"/>
      <c r="F46" s="77">
        <f>Formular!X18</f>
        <v>0</v>
      </c>
      <c r="G46" s="76">
        <f>Formular!AF18</f>
        <v>0</v>
      </c>
      <c r="H46" s="76">
        <f>INDEX(P44:P55,MATCH(F46,N44:N55,0))</f>
        <v>12</v>
      </c>
      <c r="I46" s="75"/>
      <c r="J46" s="75"/>
      <c r="K46" s="67">
        <f t="shared" si="8"/>
        <v>0</v>
      </c>
      <c r="L46" s="75">
        <f t="shared" si="8"/>
        <v>0</v>
      </c>
      <c r="M46" s="75">
        <f>L46-ROW(O50)/1000000</f>
        <v>-5.0000000000000002E-5</v>
      </c>
      <c r="N46" s="67">
        <f>INDEX(K44:K55,MATCH(LARGE(M44:M55,ROW(A$3)),M44:M55,0))</f>
        <v>0</v>
      </c>
      <c r="O46" s="75">
        <f>LARGE(M44:M55,ROW(A$3))</f>
        <v>-4.6E-5</v>
      </c>
      <c r="P46" s="83">
        <f>IF(O46=0,0,10)</f>
        <v>10</v>
      </c>
      <c r="Q46" s="75"/>
      <c r="R46" s="75"/>
      <c r="S46" s="67"/>
      <c r="T46" s="67"/>
      <c r="U46" s="61"/>
      <c r="V46" s="61" t="s">
        <v>68</v>
      </c>
      <c r="W46" s="61" t="s">
        <v>72</v>
      </c>
    </row>
    <row r="47" spans="1:23" x14ac:dyDescent="0.2">
      <c r="A47" s="67"/>
      <c r="B47" s="77">
        <f>Formular!F19</f>
        <v>0</v>
      </c>
      <c r="C47" s="76">
        <f>Formular!N19</f>
        <v>0</v>
      </c>
      <c r="D47" s="76">
        <f>INDEX(P44:P55,MATCH(B47,N44:N55,0))</f>
        <v>12</v>
      </c>
      <c r="E47" s="67"/>
      <c r="F47" s="77">
        <f>Formular!X19</f>
        <v>0</v>
      </c>
      <c r="G47" s="76">
        <f>Formular!AF19</f>
        <v>0</v>
      </c>
      <c r="H47" s="76">
        <f>INDEX(P44:P55,MATCH(F47,N44:N55,0))</f>
        <v>12</v>
      </c>
      <c r="I47" s="75"/>
      <c r="J47" s="75"/>
      <c r="K47" s="67">
        <f t="shared" si="8"/>
        <v>0</v>
      </c>
      <c r="L47" s="75">
        <f t="shared" si="8"/>
        <v>0</v>
      </c>
      <c r="M47" s="75">
        <f>L47-ROW(O51)/1000000</f>
        <v>-5.1E-5</v>
      </c>
      <c r="N47" s="67">
        <f>INDEX(K44:K55,MATCH(LARGE(M44:M55,ROW(A$4)),M44:M55,0))</f>
        <v>0</v>
      </c>
      <c r="O47" s="75">
        <f>LARGE(M44:M55,ROW(A$4))</f>
        <v>-4.6999999999999997E-5</v>
      </c>
      <c r="P47" s="83">
        <f>IF(O47=0,0,9)</f>
        <v>9</v>
      </c>
      <c r="Q47" s="75"/>
      <c r="R47" s="75"/>
      <c r="S47" s="67"/>
      <c r="T47" s="67"/>
      <c r="U47" s="61"/>
      <c r="V47" s="61" t="s">
        <v>89</v>
      </c>
      <c r="W47" s="66" t="s">
        <v>92</v>
      </c>
    </row>
    <row r="48" spans="1:23" x14ac:dyDescent="0.2">
      <c r="A48" s="67"/>
      <c r="B48" s="77">
        <f>Formular!F20</f>
        <v>0</v>
      </c>
      <c r="C48" s="76">
        <f>Formular!N20</f>
        <v>0</v>
      </c>
      <c r="D48" s="76">
        <f>INDEX(P44:P55,MATCH(B48,N44:N55,0))</f>
        <v>12</v>
      </c>
      <c r="E48" s="67"/>
      <c r="F48" s="77">
        <f>Formular!X20</f>
        <v>0</v>
      </c>
      <c r="G48" s="76">
        <f>Formular!AF20</f>
        <v>0</v>
      </c>
      <c r="H48" s="76">
        <f>INDEX(P44:P55,MATCH(F48,N44:N55,0))</f>
        <v>12</v>
      </c>
      <c r="I48" s="75"/>
      <c r="J48" s="75"/>
      <c r="K48" s="67">
        <f t="shared" si="8"/>
        <v>0</v>
      </c>
      <c r="L48" s="75">
        <f t="shared" si="8"/>
        <v>0</v>
      </c>
      <c r="M48" s="75">
        <f>L48-ROW(O54)/1000000</f>
        <v>-5.3999999999999998E-5</v>
      </c>
      <c r="N48" s="67">
        <f>INDEX(K44:K55,MATCH(LARGE(M44:M55,ROW(A$5)),M44:M55,0))</f>
        <v>0</v>
      </c>
      <c r="O48" s="75">
        <f>LARGE(M44:M55,ROW(A$5))</f>
        <v>-4.8000000000000001E-5</v>
      </c>
      <c r="P48" s="83">
        <f>IF(O48=0,0,8)</f>
        <v>8</v>
      </c>
      <c r="Q48" s="75"/>
      <c r="R48" s="75"/>
      <c r="S48" s="67"/>
      <c r="T48" s="67"/>
      <c r="U48" s="61"/>
      <c r="V48" s="61" t="s">
        <v>172</v>
      </c>
      <c r="W48" s="61" t="s">
        <v>167</v>
      </c>
    </row>
    <row r="49" spans="1:23" x14ac:dyDescent="0.2">
      <c r="A49" s="67"/>
      <c r="B49" s="77">
        <f>Formular!F21</f>
        <v>0</v>
      </c>
      <c r="C49" s="76">
        <f>Formular!N21</f>
        <v>0</v>
      </c>
      <c r="D49" s="76">
        <f>INDEX(P44:P55,MATCH(B49,N44:N55,0))</f>
        <v>12</v>
      </c>
      <c r="E49" s="67"/>
      <c r="F49" s="77">
        <f>Formular!X21</f>
        <v>0</v>
      </c>
      <c r="G49" s="76">
        <f>Formular!AF21</f>
        <v>0</v>
      </c>
      <c r="H49" s="76">
        <f>INDEX(P44:P55,MATCH(F49,N44:N55,0))</f>
        <v>12</v>
      </c>
      <c r="I49" s="75"/>
      <c r="J49" s="75"/>
      <c r="K49" s="67">
        <f t="shared" si="8"/>
        <v>0</v>
      </c>
      <c r="L49" s="75">
        <f t="shared" si="8"/>
        <v>0</v>
      </c>
      <c r="M49" s="75">
        <f>L49-ROW(O55)/1000000</f>
        <v>-5.5000000000000002E-5</v>
      </c>
      <c r="N49" s="67">
        <f>INDEX(K44:K55,MATCH(LARGE(M44:M55,ROW(A$6)),M44:M55,0))</f>
        <v>0</v>
      </c>
      <c r="O49" s="75">
        <f>LARGE(M44:M55,ROW(A$6))</f>
        <v>-4.8999999999999998E-5</v>
      </c>
      <c r="P49" s="83">
        <f>IF(O49=0,0,7)</f>
        <v>7</v>
      </c>
      <c r="Q49" s="75"/>
      <c r="R49" s="75"/>
      <c r="S49" s="67"/>
      <c r="T49" s="67"/>
      <c r="U49" s="61"/>
      <c r="V49" s="61" t="s">
        <v>4</v>
      </c>
      <c r="W49" s="61" t="s">
        <v>32</v>
      </c>
    </row>
    <row r="50" spans="1:23" x14ac:dyDescent="0.2">
      <c r="A50" s="67"/>
      <c r="B50" s="67"/>
      <c r="C50" s="67"/>
      <c r="D50" s="67"/>
      <c r="E50" s="67"/>
      <c r="F50" s="67"/>
      <c r="G50" s="67"/>
      <c r="H50" s="67"/>
      <c r="I50" s="67"/>
      <c r="J50" s="67"/>
      <c r="K50" s="78">
        <f>F44</f>
        <v>0</v>
      </c>
      <c r="L50" s="75">
        <f>G44</f>
        <v>0</v>
      </c>
      <c r="M50" s="75">
        <f>L50-ROW(O44)/1000000</f>
        <v>-4.3999999999999999E-5</v>
      </c>
      <c r="N50" s="67">
        <f>INDEX(K44:K55,MATCH(LARGE(M44:M55,ROW(A$7)),M44:M55,0))</f>
        <v>0</v>
      </c>
      <c r="O50" s="75">
        <f>LARGE(M44:M55,ROW(A$7))</f>
        <v>-5.0000000000000002E-5</v>
      </c>
      <c r="P50" s="83">
        <f>IF(O50=0,0,6)</f>
        <v>6</v>
      </c>
      <c r="Q50" s="75"/>
      <c r="R50" s="75"/>
      <c r="S50" s="67"/>
      <c r="T50" s="67"/>
      <c r="U50" s="61"/>
      <c r="V50" s="64"/>
      <c r="W50" s="61"/>
    </row>
    <row r="51" spans="1:23" x14ac:dyDescent="0.2">
      <c r="A51" s="67"/>
      <c r="B51" s="67"/>
      <c r="C51" s="75">
        <f>SUM(C44:C49)</f>
        <v>0</v>
      </c>
      <c r="D51" s="75">
        <f>SUM(D44:D49)</f>
        <v>72</v>
      </c>
      <c r="E51" s="67"/>
      <c r="F51" s="67"/>
      <c r="G51" s="75">
        <f>SUM(G44:G49)</f>
        <v>0</v>
      </c>
      <c r="H51" s="75">
        <f>SUM(H44:H49)</f>
        <v>72</v>
      </c>
      <c r="I51" s="67"/>
      <c r="J51" s="67"/>
      <c r="K51" s="67">
        <f t="shared" ref="K51:K55" si="9">F45</f>
        <v>0</v>
      </c>
      <c r="L51" s="75">
        <f t="shared" ref="L51:L55" si="10">G45</f>
        <v>0</v>
      </c>
      <c r="M51" s="75">
        <f>L51-ROW(O45)/1000000</f>
        <v>-4.5000000000000003E-5</v>
      </c>
      <c r="N51" s="67">
        <f>INDEX(K44:K55,MATCH(LARGE(M44:M55,ROW(A$8)),M44:M55,0))</f>
        <v>0</v>
      </c>
      <c r="O51" s="75">
        <f>LARGE(M44:M55,ROW(A$8))</f>
        <v>-5.1E-5</v>
      </c>
      <c r="P51" s="83">
        <f>IF(O51=0,0,5)</f>
        <v>5</v>
      </c>
      <c r="Q51" s="75"/>
      <c r="R51" s="75"/>
      <c r="S51" s="67"/>
      <c r="T51" s="67"/>
      <c r="U51" s="61"/>
      <c r="V51" s="61"/>
      <c r="W51" s="61"/>
    </row>
    <row r="52" spans="1:23" x14ac:dyDescent="0.2">
      <c r="A52" s="67"/>
      <c r="B52" s="67"/>
      <c r="C52" s="67"/>
      <c r="D52" s="83">
        <f>IF(C51+G51=0,0,IF(M59=0,"0",IF(M59=1,1,IF(M59=2,2,IF(M59=3,3)))))</f>
        <v>0</v>
      </c>
      <c r="E52" s="67"/>
      <c r="F52" s="67"/>
      <c r="G52" s="67"/>
      <c r="H52" s="75">
        <f>IF(C51+G51=0,0,IF(N59=0,"0",IF(N59=1,1,IF(N59=2,2,IF(N59=3,3)))))</f>
        <v>0</v>
      </c>
      <c r="I52" s="67"/>
      <c r="J52" s="67"/>
      <c r="K52" s="67">
        <f t="shared" si="9"/>
        <v>0</v>
      </c>
      <c r="L52" s="75">
        <f t="shared" si="10"/>
        <v>0</v>
      </c>
      <c r="M52" s="75">
        <f>L52-ROW(O48)/1000000</f>
        <v>-4.8000000000000001E-5</v>
      </c>
      <c r="N52" s="67">
        <f>INDEX(K44:K55,MATCH(LARGE(M44:M55,ROW(A$9)),M44:M55,0))</f>
        <v>0</v>
      </c>
      <c r="O52" s="75">
        <f>LARGE(M44:M55,ROW(A$9))</f>
        <v>-5.1999999999999997E-5</v>
      </c>
      <c r="P52" s="83">
        <f>IF(O52=0,0,4)</f>
        <v>4</v>
      </c>
      <c r="Q52" s="75"/>
      <c r="R52" s="75"/>
      <c r="S52" s="67"/>
      <c r="T52" s="67"/>
      <c r="U52" s="61"/>
      <c r="V52" s="61"/>
      <c r="W52" s="61"/>
    </row>
    <row r="53" spans="1:23" x14ac:dyDescent="0.2">
      <c r="A53" s="67"/>
      <c r="B53" s="67"/>
      <c r="C53" s="67"/>
      <c r="D53" s="67"/>
      <c r="E53" s="67"/>
      <c r="F53" s="67"/>
      <c r="G53" s="67"/>
      <c r="H53" s="67"/>
      <c r="I53" s="67"/>
      <c r="J53" s="67"/>
      <c r="K53" s="67">
        <f t="shared" si="9"/>
        <v>0</v>
      </c>
      <c r="L53" s="75">
        <f t="shared" si="10"/>
        <v>0</v>
      </c>
      <c r="M53" s="75">
        <f>L53-ROW(O49)/1000000</f>
        <v>-4.8999999999999998E-5</v>
      </c>
      <c r="N53" s="67">
        <f>INDEX(K44:K55,MATCH(LARGE(M44:M55,ROW(A$10)),M44:M55,0))</f>
        <v>0</v>
      </c>
      <c r="O53" s="75">
        <f>LARGE(M44:M55,ROW(A$10))</f>
        <v>-5.3000000000000001E-5</v>
      </c>
      <c r="P53" s="83">
        <f>IF(O53=0,0,3)</f>
        <v>3</v>
      </c>
      <c r="Q53" s="75"/>
      <c r="R53" s="75"/>
      <c r="S53" s="67"/>
      <c r="T53" s="67"/>
      <c r="U53" s="61"/>
      <c r="V53" s="61"/>
      <c r="W53" s="61"/>
    </row>
    <row r="54" spans="1:23" x14ac:dyDescent="0.2">
      <c r="A54" s="67"/>
      <c r="B54" s="67"/>
      <c r="C54" s="67"/>
      <c r="D54" s="67"/>
      <c r="E54" s="67"/>
      <c r="F54" s="67"/>
      <c r="G54" s="67"/>
      <c r="H54" s="67"/>
      <c r="I54" s="67"/>
      <c r="J54" s="67"/>
      <c r="K54" s="67">
        <f t="shared" si="9"/>
        <v>0</v>
      </c>
      <c r="L54" s="75">
        <f t="shared" si="10"/>
        <v>0</v>
      </c>
      <c r="M54" s="75">
        <f>L54-ROW(O52)/1000000</f>
        <v>-5.1999999999999997E-5</v>
      </c>
      <c r="N54" s="67">
        <f>INDEX(K44:K55,MATCH(LARGE(M44:M55,ROW(A$11)),M44:M55,0))</f>
        <v>0</v>
      </c>
      <c r="O54" s="75">
        <f>LARGE(M44:M55,ROW(A$11))</f>
        <v>-5.3999999999999998E-5</v>
      </c>
      <c r="P54" s="83">
        <f>IF(O54=0,0,2)</f>
        <v>2</v>
      </c>
      <c r="Q54" s="75"/>
      <c r="R54" s="75"/>
      <c r="S54" s="67"/>
      <c r="T54" s="67"/>
      <c r="U54" s="61"/>
      <c r="V54" s="66"/>
      <c r="W54" s="61"/>
    </row>
    <row r="55" spans="1:23" x14ac:dyDescent="0.2">
      <c r="A55" s="67"/>
      <c r="B55" s="67"/>
      <c r="C55" s="67"/>
      <c r="D55" s="67"/>
      <c r="E55" s="67"/>
      <c r="F55" s="67"/>
      <c r="G55" s="67"/>
      <c r="H55" s="67"/>
      <c r="I55" s="67"/>
      <c r="J55" s="67"/>
      <c r="K55" s="67">
        <f t="shared" si="9"/>
        <v>0</v>
      </c>
      <c r="L55" s="75">
        <f t="shared" si="10"/>
        <v>0</v>
      </c>
      <c r="M55" s="75">
        <f>L55-ROW(O53)/1000000</f>
        <v>-5.3000000000000001E-5</v>
      </c>
      <c r="N55" s="67">
        <f>INDEX(K44:K55,MATCH(LARGE(M44:M55,ROW(A$12)),M44:M55,0))</f>
        <v>0</v>
      </c>
      <c r="O55" s="75">
        <f>LARGE(M44:M55,ROW(A$12))</f>
        <v>-5.5000000000000002E-5</v>
      </c>
      <c r="P55" s="83">
        <f>IF(O55=0,0,1)</f>
        <v>1</v>
      </c>
      <c r="Q55" s="75"/>
      <c r="R55" s="75"/>
      <c r="S55" s="67"/>
      <c r="T55" s="67"/>
      <c r="U55" s="61"/>
      <c r="V55" s="66"/>
      <c r="W55" s="66"/>
    </row>
    <row r="56" spans="1:23" x14ac:dyDescent="0.2">
      <c r="A56" s="67"/>
      <c r="B56" s="67"/>
      <c r="C56" s="67"/>
      <c r="D56" s="67"/>
      <c r="E56" s="67"/>
      <c r="F56" s="67"/>
      <c r="G56" s="67"/>
      <c r="H56" s="67"/>
      <c r="I56" s="67"/>
      <c r="J56" s="67"/>
      <c r="K56" s="67"/>
      <c r="L56" s="67"/>
      <c r="M56" s="67"/>
      <c r="N56" s="67"/>
      <c r="O56" s="67"/>
      <c r="P56" s="67"/>
      <c r="Q56" s="67"/>
      <c r="R56" s="67"/>
      <c r="S56" s="67"/>
      <c r="T56" s="67"/>
      <c r="U56" s="61"/>
      <c r="V56" s="66"/>
      <c r="W56" s="66"/>
    </row>
    <row r="57" spans="1:23" x14ac:dyDescent="0.2">
      <c r="A57" s="67"/>
      <c r="B57" s="67"/>
      <c r="C57" s="67"/>
      <c r="D57" s="67"/>
      <c r="E57" s="67"/>
      <c r="F57" s="67"/>
      <c r="G57" s="67"/>
      <c r="H57" s="67"/>
      <c r="I57" s="67"/>
      <c r="J57" s="67"/>
      <c r="M57" s="84">
        <f>IF(C51&gt;G51,2,IF(C51=G51,1,0))</f>
        <v>1</v>
      </c>
      <c r="N57" s="83">
        <f>IF(G51&gt;C51,2,IF(G51=C51,1,0))</f>
        <v>1</v>
      </c>
      <c r="O57" s="80"/>
      <c r="P57" s="80">
        <v>32</v>
      </c>
      <c r="Q57" s="80"/>
      <c r="R57" s="80"/>
      <c r="S57" s="67"/>
      <c r="T57" s="67"/>
      <c r="U57" s="61"/>
      <c r="V57" s="66"/>
      <c r="W57" s="61"/>
    </row>
    <row r="58" spans="1:23" x14ac:dyDescent="0.2">
      <c r="A58" s="67"/>
      <c r="B58" s="67"/>
      <c r="C58" s="67"/>
      <c r="D58" s="67"/>
      <c r="E58" s="67"/>
      <c r="F58" s="67"/>
      <c r="G58" s="67"/>
      <c r="H58" s="67"/>
      <c r="I58" s="67"/>
      <c r="J58" s="67"/>
      <c r="M58" s="85">
        <f>IF(H51&lt;P$57,1,0)</f>
        <v>0</v>
      </c>
      <c r="N58" s="86">
        <f>IF(H51&gt;=P$57,1,0)</f>
        <v>1</v>
      </c>
      <c r="O58" s="80"/>
      <c r="P58" s="80"/>
      <c r="Q58" s="80"/>
      <c r="R58" s="80"/>
      <c r="S58" s="67"/>
      <c r="T58" s="67"/>
      <c r="U58" s="61"/>
      <c r="V58" s="66"/>
      <c r="W58" s="61"/>
    </row>
    <row r="59" spans="1:23" x14ac:dyDescent="0.2">
      <c r="A59" s="67"/>
      <c r="B59" s="67"/>
      <c r="C59" s="67"/>
      <c r="D59" s="67"/>
      <c r="E59" s="67"/>
      <c r="F59" s="67"/>
      <c r="G59" s="67"/>
      <c r="H59" s="67"/>
      <c r="I59" s="67"/>
      <c r="J59" s="67"/>
      <c r="M59" s="82">
        <f>SUM(M57:M58)</f>
        <v>1</v>
      </c>
      <c r="N59" s="82">
        <f>SUM(N57:N58)</f>
        <v>2</v>
      </c>
      <c r="O59" s="80"/>
      <c r="P59" s="80"/>
      <c r="Q59" s="80"/>
      <c r="R59" s="80"/>
      <c r="S59" s="67"/>
      <c r="T59" s="67"/>
      <c r="U59" s="61"/>
      <c r="V59" s="66"/>
      <c r="W59" s="66"/>
    </row>
    <row r="60" spans="1:23" ht="14.25" x14ac:dyDescent="0.2">
      <c r="A60" s="67"/>
      <c r="B60" s="67"/>
      <c r="C60" s="67"/>
      <c r="D60" s="67"/>
      <c r="E60" s="67"/>
      <c r="F60" s="67"/>
      <c r="G60" s="67"/>
      <c r="H60" s="67"/>
      <c r="I60" s="67"/>
      <c r="J60" s="67"/>
      <c r="O60" s="79"/>
      <c r="P60" s="81"/>
      <c r="Q60" s="79"/>
      <c r="R60" s="81"/>
      <c r="S60" s="67"/>
      <c r="T60" s="67"/>
      <c r="U60" s="61"/>
      <c r="V60" s="64"/>
      <c r="W60" s="66"/>
    </row>
  </sheetData>
  <sheetProtection algorithmName="SHA-512" hashValue="jzaFZSAS2L/BPLgRHW7qoXRP9Scke//JJIyYsm4+L2ou74WTJT+VBVdB6/V4G0hpne4anHPAw5wiVZ10ltsTnw==" saltValue="NuT2PA8Epp9NuiIpWgk1HQ==" spinCount="100000" sheet="1" selectLockedCells="1"/>
  <printOptions horizontalCentered="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oddHeader>&amp;CEinzelwertung &amp;F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I24"/>
  <sheetViews>
    <sheetView showGridLines="0" showRowColHeaders="0" workbookViewId="0"/>
  </sheetViews>
  <sheetFormatPr baseColWidth="10" defaultColWidth="11.42578125" defaultRowHeight="12.75" x14ac:dyDescent="0.2"/>
  <cols>
    <col min="1" max="1" width="11.42578125" style="7"/>
    <col min="2" max="8" width="11.42578125" style="2"/>
    <col min="9" max="9" width="18.7109375" style="2" customWidth="1"/>
    <col min="10" max="16384" width="11.42578125" style="2"/>
  </cols>
  <sheetData>
    <row r="2" spans="1:9" ht="24.95" customHeight="1" x14ac:dyDescent="0.25">
      <c r="A2" s="4"/>
      <c r="B2" s="99" t="s">
        <v>151</v>
      </c>
      <c r="C2" s="88"/>
      <c r="D2" s="88"/>
      <c r="E2" s="88"/>
      <c r="F2" s="89"/>
      <c r="G2" s="89"/>
      <c r="H2" s="89"/>
      <c r="I2" s="90"/>
    </row>
    <row r="3" spans="1:9" ht="15.95" customHeight="1" x14ac:dyDescent="0.2">
      <c r="B3" s="91"/>
      <c r="C3" s="8"/>
      <c r="D3" s="8"/>
      <c r="E3" s="8"/>
      <c r="F3" s="8"/>
      <c r="G3" s="8"/>
      <c r="H3" s="8"/>
      <c r="I3" s="92"/>
    </row>
    <row r="4" spans="1:9" ht="15.95" customHeight="1" x14ac:dyDescent="0.25">
      <c r="B4" s="98" t="s">
        <v>143</v>
      </c>
      <c r="C4" s="8"/>
      <c r="D4" s="8"/>
      <c r="E4" s="8"/>
      <c r="F4" s="8"/>
      <c r="G4" s="8"/>
      <c r="H4" s="8"/>
      <c r="I4" s="92"/>
    </row>
    <row r="5" spans="1:9" ht="15.95" customHeight="1" x14ac:dyDescent="0.2">
      <c r="B5" s="91"/>
      <c r="C5" s="8"/>
      <c r="D5" s="8"/>
      <c r="E5" s="8"/>
      <c r="F5" s="8"/>
      <c r="G5" s="8"/>
      <c r="H5" s="8"/>
      <c r="I5" s="92"/>
    </row>
    <row r="6" spans="1:9" ht="15.95" customHeight="1" x14ac:dyDescent="0.25">
      <c r="A6" s="9"/>
      <c r="B6" s="98" t="s">
        <v>144</v>
      </c>
      <c r="C6" s="8"/>
      <c r="D6" s="8"/>
      <c r="E6" s="8"/>
      <c r="F6" s="8"/>
      <c r="G6" s="8"/>
      <c r="H6" s="8"/>
      <c r="I6" s="92"/>
    </row>
    <row r="7" spans="1:9" ht="15.95" customHeight="1" x14ac:dyDescent="0.2">
      <c r="A7" s="9"/>
      <c r="B7" s="93"/>
      <c r="C7" s="8"/>
      <c r="D7" s="8"/>
      <c r="E7" s="8"/>
      <c r="F7" s="8"/>
      <c r="G7" s="8"/>
      <c r="H7" s="8"/>
      <c r="I7" s="92"/>
    </row>
    <row r="8" spans="1:9" ht="15.95" customHeight="1" x14ac:dyDescent="0.2">
      <c r="A8" s="9"/>
      <c r="B8" s="98" t="s">
        <v>141</v>
      </c>
      <c r="C8" s="8"/>
      <c r="D8" s="8"/>
      <c r="E8" s="8"/>
      <c r="F8" s="8"/>
      <c r="G8" s="8"/>
      <c r="H8" s="8"/>
      <c r="I8" s="92"/>
    </row>
    <row r="9" spans="1:9" ht="15.95" customHeight="1" x14ac:dyDescent="0.25">
      <c r="A9" s="9"/>
      <c r="B9" s="93" t="s">
        <v>145</v>
      </c>
      <c r="C9" s="8"/>
      <c r="D9" s="8"/>
      <c r="E9" s="8"/>
      <c r="F9" s="8"/>
      <c r="G9" s="8"/>
      <c r="H9" s="8"/>
      <c r="I9" s="92"/>
    </row>
    <row r="10" spans="1:9" ht="15.95" customHeight="1" x14ac:dyDescent="0.2">
      <c r="A10" s="9"/>
      <c r="B10" s="93"/>
      <c r="C10" s="8"/>
      <c r="D10" s="8"/>
      <c r="E10" s="8"/>
      <c r="F10" s="8"/>
      <c r="G10" s="8"/>
      <c r="H10" s="8"/>
      <c r="I10" s="92"/>
    </row>
    <row r="11" spans="1:9" ht="15.95" customHeight="1" x14ac:dyDescent="0.25">
      <c r="A11" s="9"/>
      <c r="B11" s="98" t="s">
        <v>142</v>
      </c>
      <c r="C11" s="8"/>
      <c r="D11" s="8"/>
      <c r="E11" s="8"/>
      <c r="F11" s="8"/>
      <c r="G11" s="8"/>
      <c r="H11" s="8"/>
      <c r="I11" s="92"/>
    </row>
    <row r="12" spans="1:9" ht="15.95" customHeight="1" x14ac:dyDescent="0.2">
      <c r="A12" s="9"/>
      <c r="B12" s="93" t="s">
        <v>146</v>
      </c>
      <c r="C12" s="8"/>
      <c r="D12" s="8"/>
      <c r="E12" s="8"/>
      <c r="F12" s="8"/>
      <c r="G12" s="8"/>
      <c r="H12" s="8"/>
      <c r="I12" s="92"/>
    </row>
    <row r="13" spans="1:9" ht="15.95" customHeight="1" x14ac:dyDescent="0.2">
      <c r="A13" s="9"/>
      <c r="B13" s="93" t="s">
        <v>147</v>
      </c>
      <c r="C13" s="8"/>
      <c r="D13" s="8"/>
      <c r="E13" s="8"/>
      <c r="F13" s="8"/>
      <c r="G13" s="8"/>
      <c r="H13" s="8"/>
      <c r="I13" s="92"/>
    </row>
    <row r="14" spans="1:9" ht="15.95" customHeight="1" x14ac:dyDescent="0.25">
      <c r="A14" s="9"/>
      <c r="B14" s="93" t="s">
        <v>148</v>
      </c>
      <c r="C14" s="8"/>
      <c r="D14" s="8"/>
      <c r="E14" s="8"/>
      <c r="F14" s="8"/>
      <c r="G14" s="8"/>
      <c r="H14" s="8"/>
      <c r="I14" s="92"/>
    </row>
    <row r="15" spans="1:9" ht="15.95" customHeight="1" x14ac:dyDescent="0.25">
      <c r="A15" s="9"/>
      <c r="B15" s="93" t="s">
        <v>149</v>
      </c>
      <c r="C15" s="8"/>
      <c r="D15" s="8"/>
      <c r="E15" s="8"/>
      <c r="F15" s="8"/>
      <c r="G15" s="8"/>
      <c r="H15" s="8"/>
      <c r="I15" s="92"/>
    </row>
    <row r="16" spans="1:9" ht="15.95" customHeight="1" x14ac:dyDescent="0.2">
      <c r="A16" s="9"/>
      <c r="B16" s="93"/>
      <c r="C16" s="8"/>
      <c r="D16" s="8"/>
      <c r="E16" s="8"/>
      <c r="F16" s="8"/>
      <c r="G16" s="8"/>
      <c r="H16" s="8"/>
      <c r="I16" s="92"/>
    </row>
    <row r="17" spans="1:9" ht="15.95" customHeight="1" x14ac:dyDescent="0.2">
      <c r="A17" s="9"/>
      <c r="B17" s="98" t="s">
        <v>152</v>
      </c>
      <c r="C17" s="8"/>
      <c r="D17" s="8"/>
      <c r="E17" s="8"/>
      <c r="F17" s="8"/>
      <c r="G17" s="8"/>
      <c r="H17" s="8"/>
      <c r="I17" s="92"/>
    </row>
    <row r="18" spans="1:9" ht="15.95" customHeight="1" x14ac:dyDescent="0.2">
      <c r="A18" s="9"/>
      <c r="B18" s="94" t="s">
        <v>154</v>
      </c>
      <c r="C18" s="8"/>
      <c r="D18" s="8"/>
      <c r="E18" s="8"/>
      <c r="F18" s="8"/>
      <c r="G18" s="8"/>
      <c r="H18" s="8"/>
      <c r="I18" s="92"/>
    </row>
    <row r="19" spans="1:9" ht="15.95" customHeight="1" x14ac:dyDescent="0.2">
      <c r="A19" s="9"/>
      <c r="B19" s="94" t="s">
        <v>153</v>
      </c>
      <c r="C19" s="8"/>
      <c r="D19" s="8"/>
      <c r="E19" s="8"/>
      <c r="F19" s="8"/>
      <c r="G19" s="8"/>
      <c r="H19" s="8"/>
      <c r="I19" s="92"/>
    </row>
    <row r="20" spans="1:9" ht="15.95" customHeight="1" x14ac:dyDescent="0.2">
      <c r="A20" s="9"/>
      <c r="B20" s="94" t="s">
        <v>155</v>
      </c>
      <c r="C20" s="8"/>
      <c r="D20" s="8"/>
      <c r="E20" s="8"/>
      <c r="F20" s="8"/>
      <c r="G20" s="8"/>
      <c r="H20" s="8"/>
      <c r="I20" s="92"/>
    </row>
    <row r="21" spans="1:9" ht="15.95" customHeight="1" x14ac:dyDescent="0.2">
      <c r="A21" s="9"/>
      <c r="B21" s="93"/>
      <c r="C21" s="8"/>
      <c r="D21" s="8"/>
      <c r="E21" s="8"/>
      <c r="F21" s="8"/>
      <c r="G21" s="8"/>
      <c r="H21" s="8"/>
      <c r="I21" s="92"/>
    </row>
    <row r="22" spans="1:9" ht="15.95" customHeight="1" x14ac:dyDescent="0.25">
      <c r="A22" s="9"/>
      <c r="B22" s="98" t="s">
        <v>156</v>
      </c>
      <c r="C22" s="8"/>
      <c r="D22" s="8"/>
      <c r="E22" s="8"/>
      <c r="F22" s="8"/>
      <c r="G22" s="8"/>
      <c r="H22" s="8"/>
      <c r="I22" s="92"/>
    </row>
    <row r="23" spans="1:9" ht="15.95" customHeight="1" x14ac:dyDescent="0.2">
      <c r="A23" s="9"/>
      <c r="B23" s="94" t="s">
        <v>150</v>
      </c>
      <c r="C23" s="8"/>
      <c r="D23" s="8"/>
      <c r="E23" s="8"/>
      <c r="F23" s="8"/>
      <c r="G23" s="8"/>
      <c r="H23" s="8"/>
      <c r="I23" s="92"/>
    </row>
    <row r="24" spans="1:9" ht="15.95" customHeight="1" x14ac:dyDescent="0.2">
      <c r="A24" s="9"/>
      <c r="B24" s="95"/>
      <c r="C24" s="96"/>
      <c r="D24" s="96"/>
      <c r="E24" s="96"/>
      <c r="F24" s="96"/>
      <c r="G24" s="96"/>
      <c r="H24" s="96"/>
      <c r="I24" s="97"/>
    </row>
  </sheetData>
  <sheetProtection algorithmName="SHA-512" hashValue="/8L6jD8tSX8v5+yARc891H9xTsWQqL95A2H5Ee7tTuBAJVjIvoVNPcP+jsDm4Ftucm3zrieUMD/psYWGxyRIXA==" saltValue="By7J3ACVngA3n23MkjbdDw==" spinCount="100000" sheet="1" selectLockedCells="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AO75"/>
  <sheetViews>
    <sheetView showGridLines="0" showRowColHeaders="0" tabSelected="1" zoomScale="130" zoomScaleNormal="130" workbookViewId="0">
      <selection activeCell="N20" sqref="N20:P20"/>
    </sheetView>
  </sheetViews>
  <sheetFormatPr baseColWidth="10" defaultColWidth="11.42578125" defaultRowHeight="12.75" x14ac:dyDescent="0.2"/>
  <cols>
    <col min="1" max="1" width="18.7109375" style="14" customWidth="1"/>
    <col min="2" max="2" width="6.7109375" style="15" customWidth="1"/>
    <col min="3" max="37" width="2.7109375" style="15" customWidth="1"/>
    <col min="38" max="38" width="6.7109375" style="15" customWidth="1"/>
    <col min="39" max="39" width="11.42578125" style="14"/>
    <col min="40" max="41" width="11.42578125" style="14" hidden="1" customWidth="1"/>
    <col min="42" max="16384" width="11.42578125" style="15"/>
  </cols>
  <sheetData>
    <row r="1" spans="1:41"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41" ht="20.100000000000001" customHeight="1" x14ac:dyDescent="0.2">
      <c r="B2" s="10"/>
      <c r="C2" s="159" t="s">
        <v>33</v>
      </c>
      <c r="D2" s="160"/>
      <c r="E2" s="160"/>
      <c r="F2" s="160"/>
      <c r="G2" s="160"/>
      <c r="H2" s="160"/>
      <c r="I2" s="160"/>
      <c r="J2" s="160"/>
      <c r="K2" s="160"/>
      <c r="L2" s="160"/>
      <c r="M2" s="160"/>
      <c r="N2" s="160"/>
      <c r="O2" s="160"/>
      <c r="P2" s="160"/>
      <c r="Q2" s="160"/>
      <c r="R2" s="160"/>
      <c r="S2" s="160"/>
      <c r="T2" s="160"/>
      <c r="U2" s="160"/>
      <c r="V2" s="160"/>
      <c r="W2" s="160"/>
      <c r="X2" s="160"/>
      <c r="Y2" s="160"/>
      <c r="Z2" s="160"/>
      <c r="AA2" s="21"/>
      <c r="AB2" s="21"/>
      <c r="AC2" s="21"/>
      <c r="AD2" s="21"/>
      <c r="AE2" s="21"/>
      <c r="AF2" s="21"/>
      <c r="AG2" s="21"/>
      <c r="AH2" s="21"/>
      <c r="AI2" s="21"/>
      <c r="AJ2" s="21"/>
      <c r="AK2" s="22"/>
      <c r="AL2" s="10"/>
    </row>
    <row r="3" spans="1:41" ht="15" customHeight="1" x14ac:dyDescent="0.2">
      <c r="B3" s="10"/>
      <c r="C3" s="161" t="s">
        <v>93</v>
      </c>
      <c r="D3" s="162"/>
      <c r="E3" s="162"/>
      <c r="F3" s="162"/>
      <c r="G3" s="162"/>
      <c r="H3" s="162"/>
      <c r="I3" s="162"/>
      <c r="J3" s="162"/>
      <c r="K3" s="162"/>
      <c r="L3" s="162"/>
      <c r="M3" s="162"/>
      <c r="N3" s="162"/>
      <c r="O3" s="162"/>
      <c r="P3" s="162"/>
      <c r="Q3" s="162"/>
      <c r="R3" s="162"/>
      <c r="S3" s="162"/>
      <c r="T3" s="162"/>
      <c r="U3" s="162"/>
      <c r="V3" s="162"/>
      <c r="W3" s="162"/>
      <c r="X3" s="162"/>
      <c r="Y3" s="162"/>
      <c r="Z3" s="162"/>
      <c r="AA3" s="23"/>
      <c r="AB3" s="23"/>
      <c r="AC3" s="23"/>
      <c r="AD3" s="23"/>
      <c r="AE3" s="23"/>
      <c r="AF3" s="23"/>
      <c r="AG3" s="23"/>
      <c r="AH3" s="23"/>
      <c r="AI3" s="23"/>
      <c r="AJ3" s="23"/>
      <c r="AK3" s="24"/>
      <c r="AL3" s="10"/>
    </row>
    <row r="4" spans="1:41" ht="12" customHeight="1" x14ac:dyDescent="0.2">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row>
    <row r="5" spans="1:41" ht="15" customHeight="1" x14ac:dyDescent="0.25">
      <c r="B5" s="10"/>
      <c r="C5" s="25" t="s">
        <v>34</v>
      </c>
      <c r="D5" s="25"/>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row>
    <row r="6" spans="1:41" ht="12" customHeight="1" x14ac:dyDescent="0.2">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row>
    <row r="7" spans="1:41" ht="15" customHeight="1" x14ac:dyDescent="0.25">
      <c r="B7" s="10"/>
      <c r="C7" s="26" t="s">
        <v>35</v>
      </c>
      <c r="D7" s="26"/>
      <c r="E7" s="10"/>
      <c r="F7" s="10"/>
      <c r="G7" s="10"/>
      <c r="H7" s="167"/>
      <c r="I7" s="168"/>
      <c r="J7" s="169"/>
      <c r="K7" s="26"/>
      <c r="L7" s="27"/>
      <c r="M7" s="10"/>
      <c r="N7" s="10"/>
      <c r="O7" s="10"/>
      <c r="P7" s="10"/>
      <c r="Q7" s="10"/>
      <c r="R7" s="10"/>
      <c r="S7" s="10"/>
      <c r="T7" s="10"/>
      <c r="U7" s="10"/>
      <c r="V7" s="10"/>
      <c r="W7" s="10"/>
      <c r="X7" s="10"/>
      <c r="Y7" s="10"/>
      <c r="Z7" s="10"/>
      <c r="AA7" s="10"/>
      <c r="AB7" s="10"/>
      <c r="AC7" s="28" t="str">
        <f>IF(H7="","",IF(H7&lt;67,"X",""))</f>
        <v/>
      </c>
      <c r="AD7" s="29" t="s">
        <v>116</v>
      </c>
      <c r="AE7" s="10"/>
      <c r="AF7" s="10"/>
      <c r="AG7" s="10"/>
      <c r="AH7" s="10"/>
      <c r="AI7" s="10"/>
      <c r="AJ7" s="10"/>
      <c r="AK7" s="10"/>
      <c r="AL7" s="10"/>
    </row>
    <row r="8" spans="1:41" s="17" customFormat="1" ht="12" customHeight="1" x14ac:dyDescent="0.2">
      <c r="A8" s="16"/>
      <c r="B8" s="11"/>
      <c r="C8" s="30"/>
      <c r="D8" s="30"/>
      <c r="E8" s="10"/>
      <c r="F8" s="10"/>
      <c r="G8" s="10"/>
      <c r="H8" s="10"/>
      <c r="I8" s="11"/>
      <c r="J8" s="10"/>
      <c r="K8" s="10"/>
      <c r="L8" s="10"/>
      <c r="M8" s="10"/>
      <c r="N8" s="10"/>
      <c r="O8" s="10"/>
      <c r="P8" s="10"/>
      <c r="Q8" s="10"/>
      <c r="R8" s="10"/>
      <c r="S8" s="10"/>
      <c r="T8" s="10"/>
      <c r="U8" s="10"/>
      <c r="V8" s="10"/>
      <c r="W8" s="10"/>
      <c r="X8" s="10"/>
      <c r="Y8" s="10"/>
      <c r="Z8" s="10"/>
      <c r="AA8" s="10"/>
      <c r="AB8" s="11"/>
      <c r="AC8" s="10"/>
      <c r="AD8" s="10"/>
      <c r="AE8" s="11"/>
      <c r="AF8" s="10"/>
      <c r="AG8" s="10"/>
      <c r="AH8" s="10"/>
      <c r="AI8" s="10"/>
      <c r="AJ8" s="10"/>
      <c r="AK8" s="10"/>
      <c r="AL8" s="11"/>
      <c r="AM8" s="16"/>
      <c r="AN8" s="16"/>
      <c r="AO8" s="16"/>
    </row>
    <row r="9" spans="1:41" ht="15" customHeight="1" x14ac:dyDescent="0.2">
      <c r="B9" s="10"/>
      <c r="C9" s="26" t="s">
        <v>36</v>
      </c>
      <c r="D9" s="26"/>
      <c r="E9" s="10"/>
      <c r="F9" s="10"/>
      <c r="G9" s="10"/>
      <c r="H9" s="170"/>
      <c r="I9" s="171"/>
      <c r="J9" s="171"/>
      <c r="K9" s="171"/>
      <c r="L9" s="171"/>
      <c r="M9" s="171"/>
      <c r="N9" s="171"/>
      <c r="O9" s="171"/>
      <c r="P9" s="171"/>
      <c r="Q9" s="172"/>
      <c r="R9" s="31"/>
      <c r="S9" s="10"/>
      <c r="T9" s="10"/>
      <c r="U9" s="10"/>
      <c r="V9" s="10"/>
      <c r="W9" s="10"/>
      <c r="X9" s="10"/>
      <c r="Y9" s="10"/>
      <c r="Z9" s="10"/>
      <c r="AA9" s="10"/>
      <c r="AB9" s="10"/>
      <c r="AC9" s="28"/>
      <c r="AD9" s="29" t="s">
        <v>138</v>
      </c>
      <c r="AE9" s="10"/>
      <c r="AF9" s="10"/>
      <c r="AG9" s="10"/>
      <c r="AH9" s="10"/>
      <c r="AI9" s="10"/>
      <c r="AJ9" s="10"/>
      <c r="AK9" s="10"/>
      <c r="AL9" s="10"/>
    </row>
    <row r="10" spans="1:41" ht="12" customHeight="1" x14ac:dyDescent="0.2">
      <c r="B10" s="10"/>
      <c r="C10" s="32"/>
      <c r="D10" s="32"/>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row>
    <row r="11" spans="1:41" ht="15" customHeight="1" x14ac:dyDescent="0.2">
      <c r="B11" s="10"/>
      <c r="C11" s="26" t="s">
        <v>37</v>
      </c>
      <c r="D11" s="26"/>
      <c r="E11" s="10"/>
      <c r="F11" s="10"/>
      <c r="G11" s="10"/>
      <c r="H11" s="173"/>
      <c r="I11" s="174"/>
      <c r="J11" s="174"/>
      <c r="K11" s="174"/>
      <c r="L11" s="174"/>
      <c r="M11" s="174"/>
      <c r="N11" s="174"/>
      <c r="O11" s="174"/>
      <c r="P11" s="174"/>
      <c r="Q11" s="174"/>
      <c r="R11" s="174"/>
      <c r="S11" s="174"/>
      <c r="T11" s="174"/>
      <c r="U11" s="174"/>
      <c r="V11" s="174"/>
      <c r="W11" s="174"/>
      <c r="X11" s="174"/>
      <c r="Y11" s="174"/>
      <c r="Z11" s="175"/>
      <c r="AA11" s="26"/>
      <c r="AB11" s="10"/>
      <c r="AC11" s="28" t="str">
        <f>IF(AND(H7&gt;198,H7&lt;=366),"X","")</f>
        <v/>
      </c>
      <c r="AD11" s="29" t="str">
        <f>IF(AND(H7&gt;198,H7&lt;=254),"2. BL Herren Staffel 1",IF(AND(H7&gt;254,H7&lt;=310),"2. BL Herren Staffel 2",IF(AND(H7&gt;310,H7&lt;=366),"2. BL Herren Staffel 3","2. BL Herren")))</f>
        <v>2. BL Herren</v>
      </c>
      <c r="AE11" s="10"/>
      <c r="AF11" s="10"/>
      <c r="AG11" s="10"/>
      <c r="AH11" s="10"/>
      <c r="AI11" s="10"/>
      <c r="AJ11" s="10"/>
      <c r="AK11" s="10"/>
      <c r="AL11" s="10"/>
    </row>
    <row r="12" spans="1:41" ht="15.95" customHeight="1" x14ac:dyDescent="0.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row>
    <row r="13" spans="1:41" ht="21.95" customHeight="1" x14ac:dyDescent="0.3">
      <c r="B13" s="10"/>
      <c r="C13" s="164"/>
      <c r="D13" s="165"/>
      <c r="E13" s="165"/>
      <c r="F13" s="165"/>
      <c r="G13" s="165"/>
      <c r="H13" s="165"/>
      <c r="I13" s="165"/>
      <c r="J13" s="165"/>
      <c r="K13" s="165"/>
      <c r="L13" s="165"/>
      <c r="M13" s="165"/>
      <c r="N13" s="165"/>
      <c r="O13" s="165"/>
      <c r="P13" s="165"/>
      <c r="Q13" s="166"/>
      <c r="R13" s="26"/>
      <c r="S13" s="163" t="s">
        <v>97</v>
      </c>
      <c r="T13" s="163"/>
      <c r="U13" s="163"/>
      <c r="V13" s="10"/>
      <c r="W13" s="164"/>
      <c r="X13" s="165"/>
      <c r="Y13" s="165"/>
      <c r="Z13" s="165"/>
      <c r="AA13" s="165"/>
      <c r="AB13" s="165"/>
      <c r="AC13" s="165"/>
      <c r="AD13" s="165"/>
      <c r="AE13" s="165"/>
      <c r="AF13" s="165"/>
      <c r="AG13" s="165"/>
      <c r="AH13" s="165"/>
      <c r="AI13" s="165"/>
      <c r="AJ13" s="165"/>
      <c r="AK13" s="166"/>
      <c r="AL13" s="56"/>
    </row>
    <row r="14" spans="1:41" ht="12.75" customHeight="1" x14ac:dyDescent="0.2">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41" ht="26.1" customHeight="1" x14ac:dyDescent="0.25">
      <c r="B15" s="10"/>
      <c r="C15" s="153" t="s">
        <v>38</v>
      </c>
      <c r="D15" s="154"/>
      <c r="E15" s="155"/>
      <c r="F15" s="156" t="s">
        <v>39</v>
      </c>
      <c r="G15" s="157"/>
      <c r="H15" s="157"/>
      <c r="I15" s="157"/>
      <c r="J15" s="157"/>
      <c r="K15" s="157"/>
      <c r="L15" s="157"/>
      <c r="M15" s="157"/>
      <c r="N15" s="156" t="s">
        <v>23</v>
      </c>
      <c r="O15" s="157"/>
      <c r="P15" s="158"/>
      <c r="Q15" s="153" t="s">
        <v>40</v>
      </c>
      <c r="R15" s="154"/>
      <c r="S15" s="155"/>
      <c r="T15" s="33"/>
      <c r="U15" s="153" t="s">
        <v>38</v>
      </c>
      <c r="V15" s="154"/>
      <c r="W15" s="155"/>
      <c r="X15" s="156" t="s">
        <v>39</v>
      </c>
      <c r="Y15" s="157"/>
      <c r="Z15" s="157"/>
      <c r="AA15" s="157"/>
      <c r="AB15" s="157"/>
      <c r="AC15" s="157"/>
      <c r="AD15" s="157"/>
      <c r="AE15" s="157"/>
      <c r="AF15" s="156" t="s">
        <v>23</v>
      </c>
      <c r="AG15" s="157"/>
      <c r="AH15" s="158"/>
      <c r="AI15" s="153" t="s">
        <v>40</v>
      </c>
      <c r="AJ15" s="154"/>
      <c r="AK15" s="155"/>
      <c r="AL15" s="57"/>
    </row>
    <row r="16" spans="1:41" ht="21" customHeight="1" x14ac:dyDescent="0.25">
      <c r="B16" s="10"/>
      <c r="C16" s="116">
        <v>1</v>
      </c>
      <c r="D16" s="116"/>
      <c r="E16" s="116"/>
      <c r="F16" s="107"/>
      <c r="G16" s="108"/>
      <c r="H16" s="108"/>
      <c r="I16" s="108"/>
      <c r="J16" s="108"/>
      <c r="K16" s="108"/>
      <c r="L16" s="108"/>
      <c r="M16" s="108"/>
      <c r="N16" s="112"/>
      <c r="O16" s="113"/>
      <c r="P16" s="114"/>
      <c r="Q16" s="103" t="str">
        <f>IF(N16="","",IF($H$7&lt;=60,INDEX(Einzelwertung!$D$4:$D$9,MATCH(F16,Einzelwertung!$B$4:$B$9,0)),IF($H$7&lt;=66,INDEX(Einzelwertung!$D$24:$D$29,MATCH(F16,Einzelwertung!$B$24:$B$29,0)),IF($H$7&gt;66,INDEX(Einzelwertung!$D$44:$D$49,MATCH(F16,Einzelwertung!$B$44:$B$49,0))))))</f>
        <v/>
      </c>
      <c r="R16" s="104"/>
      <c r="S16" s="105"/>
      <c r="T16" s="10"/>
      <c r="U16" s="116">
        <v>1</v>
      </c>
      <c r="V16" s="116"/>
      <c r="W16" s="116"/>
      <c r="X16" s="107"/>
      <c r="Y16" s="108"/>
      <c r="Z16" s="108"/>
      <c r="AA16" s="108"/>
      <c r="AB16" s="108"/>
      <c r="AC16" s="108"/>
      <c r="AD16" s="108"/>
      <c r="AE16" s="108"/>
      <c r="AF16" s="112"/>
      <c r="AG16" s="113"/>
      <c r="AH16" s="114"/>
      <c r="AI16" s="103" t="str">
        <f>IF(AF16="","",IF($H$7&lt;=60,INDEX(Einzelwertung!$H$4:$H$9,MATCH(X16,Einzelwertung!$F$4:$F$9,0)),IF($H$7&lt;=66,INDEX(Einzelwertung!$H$24:$H$29,MATCH(X16,Einzelwertung!$F$24:$F$29,0)),IF($H$7&gt;66,INDEX(Einzelwertung!$H$44:$H$49,MATCH(X16,Einzelwertung!$F$44:$F$49,0))))))</f>
        <v/>
      </c>
      <c r="AJ16" s="104"/>
      <c r="AK16" s="105"/>
      <c r="AL16" s="58"/>
      <c r="AN16" s="14">
        <f>N16-ROW()/1000000</f>
        <v>-1.5999999999999999E-5</v>
      </c>
      <c r="AO16" s="14">
        <f>AF16-ROW()/1000000</f>
        <v>-1.5999999999999999E-5</v>
      </c>
    </row>
    <row r="17" spans="1:41" ht="21" customHeight="1" x14ac:dyDescent="0.25">
      <c r="B17" s="10"/>
      <c r="C17" s="116">
        <v>2</v>
      </c>
      <c r="D17" s="116"/>
      <c r="E17" s="116"/>
      <c r="F17" s="107"/>
      <c r="G17" s="152"/>
      <c r="H17" s="152"/>
      <c r="I17" s="152"/>
      <c r="J17" s="152"/>
      <c r="K17" s="152"/>
      <c r="L17" s="152"/>
      <c r="M17" s="152"/>
      <c r="N17" s="112"/>
      <c r="O17" s="113"/>
      <c r="P17" s="114"/>
      <c r="Q17" s="103" t="str">
        <f>IF(N17="","",IF($H$7&lt;=60,INDEX(Einzelwertung!$D$4:$D$9,MATCH(F17,Einzelwertung!$B$4:$B$9,0)),IF($H$7&lt;=66,INDEX(Einzelwertung!$D$24:$D$29,MATCH(F17,Einzelwertung!$B$24:$B$29,0)),IF($H$7&gt;66,INDEX(Einzelwertung!$D$44:$D$49,MATCH(F17,Einzelwertung!$B$44:$B$49,0))))))</f>
        <v/>
      </c>
      <c r="R17" s="104"/>
      <c r="S17" s="105"/>
      <c r="T17" s="10"/>
      <c r="U17" s="116">
        <v>2</v>
      </c>
      <c r="V17" s="116"/>
      <c r="W17" s="116"/>
      <c r="X17" s="107"/>
      <c r="Y17" s="108"/>
      <c r="Z17" s="108"/>
      <c r="AA17" s="108"/>
      <c r="AB17" s="108"/>
      <c r="AC17" s="108"/>
      <c r="AD17" s="108"/>
      <c r="AE17" s="108"/>
      <c r="AF17" s="112"/>
      <c r="AG17" s="113"/>
      <c r="AH17" s="114"/>
      <c r="AI17" s="103" t="str">
        <f>IF(AF17="","",IF($H$7&lt;=60,INDEX(Einzelwertung!$H$4:$H$9,MATCH(X17,Einzelwertung!$F$4:$F$9,0)),IF($H$7&lt;=66,INDEX(Einzelwertung!$H$24:$H$29,MATCH(X17,Einzelwertung!$F$24:$F$29,0)),IF($H$7&gt;66,INDEX(Einzelwertung!$H$44:$H$49,MATCH(X17,Einzelwertung!$F$44:$F$49,0))))))</f>
        <v/>
      </c>
      <c r="AJ17" s="104"/>
      <c r="AK17" s="105"/>
      <c r="AL17" s="58"/>
      <c r="AN17" s="14">
        <f t="shared" ref="AN17:AN21" si="0">N17-ROW()/1000000</f>
        <v>-1.7E-5</v>
      </c>
      <c r="AO17" s="14">
        <f t="shared" ref="AO17:AO21" si="1">AF17-ROW()/1000000</f>
        <v>-1.7E-5</v>
      </c>
    </row>
    <row r="18" spans="1:41" ht="21" customHeight="1" x14ac:dyDescent="0.25">
      <c r="B18" s="10"/>
      <c r="C18" s="116">
        <v>3</v>
      </c>
      <c r="D18" s="116"/>
      <c r="E18" s="116"/>
      <c r="F18" s="107"/>
      <c r="G18" s="152"/>
      <c r="H18" s="152"/>
      <c r="I18" s="152"/>
      <c r="J18" s="152"/>
      <c r="K18" s="152"/>
      <c r="L18" s="152"/>
      <c r="M18" s="152"/>
      <c r="N18" s="112"/>
      <c r="O18" s="113"/>
      <c r="P18" s="114"/>
      <c r="Q18" s="103" t="str">
        <f>IF(N18="","",IF($H$7&lt;=60,INDEX(Einzelwertung!$D$4:$D$9,MATCH(F18,Einzelwertung!$B$4:$B$9,0)),IF($H$7&lt;=66,INDEX(Einzelwertung!$D$24:$D$29,MATCH(F18,Einzelwertung!$B$24:$B$29,0)),IF($H$7&gt;66,INDEX(Einzelwertung!$D$44:$D$49,MATCH(F18,Einzelwertung!$B$44:$B$49,0))))))</f>
        <v/>
      </c>
      <c r="R18" s="104"/>
      <c r="S18" s="105"/>
      <c r="T18" s="10"/>
      <c r="U18" s="116">
        <v>3</v>
      </c>
      <c r="V18" s="116"/>
      <c r="W18" s="116"/>
      <c r="X18" s="107"/>
      <c r="Y18" s="108"/>
      <c r="Z18" s="108"/>
      <c r="AA18" s="108"/>
      <c r="AB18" s="108"/>
      <c r="AC18" s="108"/>
      <c r="AD18" s="108"/>
      <c r="AE18" s="108"/>
      <c r="AF18" s="112"/>
      <c r="AG18" s="113"/>
      <c r="AH18" s="114"/>
      <c r="AI18" s="103" t="str">
        <f>IF(AF18="","",IF($H$7&lt;=60,INDEX(Einzelwertung!$H$4:$H$9,MATCH(X18,Einzelwertung!$F$4:$F$9,0)),IF($H$7&lt;=66,INDEX(Einzelwertung!$H$24:$H$29,MATCH(X18,Einzelwertung!$F$24:$F$29,0)),IF($H$7&gt;66,INDEX(Einzelwertung!$H$44:$H$49,MATCH(X18,Einzelwertung!$F$44:$F$49,0))))))</f>
        <v/>
      </c>
      <c r="AJ18" s="104"/>
      <c r="AK18" s="105"/>
      <c r="AL18" s="58"/>
      <c r="AN18" s="14">
        <f t="shared" si="0"/>
        <v>-1.8E-5</v>
      </c>
      <c r="AO18" s="14">
        <f t="shared" si="1"/>
        <v>-1.8E-5</v>
      </c>
    </row>
    <row r="19" spans="1:41" ht="21" customHeight="1" x14ac:dyDescent="0.25">
      <c r="B19" s="10"/>
      <c r="C19" s="116">
        <v>4</v>
      </c>
      <c r="D19" s="116"/>
      <c r="E19" s="116"/>
      <c r="F19" s="107"/>
      <c r="G19" s="108"/>
      <c r="H19" s="108"/>
      <c r="I19" s="108"/>
      <c r="J19" s="108"/>
      <c r="K19" s="108"/>
      <c r="L19" s="108"/>
      <c r="M19" s="108"/>
      <c r="N19" s="112"/>
      <c r="O19" s="113"/>
      <c r="P19" s="114"/>
      <c r="Q19" s="103" t="str">
        <f>IF(N19="","",IF($H$7&lt;=60,INDEX(Einzelwertung!$D$4:$D$9,MATCH(F19,Einzelwertung!$B$4:$B$9,0)),IF($H$7&lt;=66,INDEX(Einzelwertung!$D$24:$D$29,MATCH(F19,Einzelwertung!$B$24:$B$29,0)),IF($H$7&gt;66,INDEX(Einzelwertung!$D$44:$D$49,MATCH(F19,Einzelwertung!$B$44:$B$49,0))))))</f>
        <v/>
      </c>
      <c r="R19" s="104"/>
      <c r="S19" s="105"/>
      <c r="T19" s="10"/>
      <c r="U19" s="116">
        <v>4</v>
      </c>
      <c r="V19" s="116"/>
      <c r="W19" s="116"/>
      <c r="X19" s="107"/>
      <c r="Y19" s="108"/>
      <c r="Z19" s="108"/>
      <c r="AA19" s="108"/>
      <c r="AB19" s="108"/>
      <c r="AC19" s="108"/>
      <c r="AD19" s="108"/>
      <c r="AE19" s="108"/>
      <c r="AF19" s="112"/>
      <c r="AG19" s="113"/>
      <c r="AH19" s="114"/>
      <c r="AI19" s="103" t="str">
        <f>IF(AF19="","",IF($H$7&lt;=60,INDEX(Einzelwertung!$H$4:$H$9,MATCH(X19,Einzelwertung!$F$4:$F$9,0)),IF($H$7&lt;=66,INDEX(Einzelwertung!$H$24:$H$29,MATCH(X19,Einzelwertung!$F$24:$F$29,0)),IF($H$7&gt;66,INDEX(Einzelwertung!$H$44:$H$49,MATCH(X19,Einzelwertung!$F$44:$F$49,0))))))</f>
        <v/>
      </c>
      <c r="AJ19" s="104"/>
      <c r="AK19" s="105"/>
      <c r="AL19" s="58"/>
      <c r="AN19" s="14">
        <f t="shared" si="0"/>
        <v>-1.9000000000000001E-5</v>
      </c>
      <c r="AO19" s="14">
        <f t="shared" si="1"/>
        <v>-1.9000000000000001E-5</v>
      </c>
    </row>
    <row r="20" spans="1:41" ht="21" customHeight="1" x14ac:dyDescent="0.25">
      <c r="B20" s="10"/>
      <c r="C20" s="116">
        <v>5</v>
      </c>
      <c r="D20" s="116"/>
      <c r="E20" s="116"/>
      <c r="F20" s="107"/>
      <c r="G20" s="108"/>
      <c r="H20" s="108"/>
      <c r="I20" s="108"/>
      <c r="J20" s="108"/>
      <c r="K20" s="108"/>
      <c r="L20" s="108"/>
      <c r="M20" s="108"/>
      <c r="N20" s="112"/>
      <c r="O20" s="113"/>
      <c r="P20" s="114"/>
      <c r="Q20" s="103" t="str">
        <f>IF(N20="","",IF($H$7&lt;=60,INDEX(Einzelwertung!$D$4:$D$9,MATCH(F20,Einzelwertung!$B$4:$B$9,0)),IF($H$7&lt;=66,INDEX(Einzelwertung!$D$24:$D$29,MATCH(F20,Einzelwertung!$B$24:$B$29,0)),IF($H$7&gt;66,INDEX(Einzelwertung!$D$44:$D$49,MATCH(F20,Einzelwertung!$B$44:$B$49,0))))))</f>
        <v/>
      </c>
      <c r="R20" s="104"/>
      <c r="S20" s="105"/>
      <c r="T20" s="10"/>
      <c r="U20" s="116">
        <v>5</v>
      </c>
      <c r="V20" s="116"/>
      <c r="W20" s="116"/>
      <c r="X20" s="107"/>
      <c r="Y20" s="108"/>
      <c r="Z20" s="108"/>
      <c r="AA20" s="108"/>
      <c r="AB20" s="108"/>
      <c r="AC20" s="108"/>
      <c r="AD20" s="108"/>
      <c r="AE20" s="108"/>
      <c r="AF20" s="112"/>
      <c r="AG20" s="113"/>
      <c r="AH20" s="114"/>
      <c r="AI20" s="103" t="str">
        <f>IF(AF20="","",IF($H$7&lt;=60,INDEX(Einzelwertung!$H$4:$H$9,MATCH(X20,Einzelwertung!$F$4:$F$9,0)),IF($H$7&lt;=66,INDEX(Einzelwertung!$H$24:$H$29,MATCH(X20,Einzelwertung!$F$24:$F$29,0)),IF($H$7&gt;66,INDEX(Einzelwertung!$H$44:$H$49,MATCH(X20,Einzelwertung!$F$44:$F$49,0))))))</f>
        <v/>
      </c>
      <c r="AJ20" s="104"/>
      <c r="AK20" s="105"/>
      <c r="AL20" s="58"/>
      <c r="AN20" s="14">
        <f t="shared" si="0"/>
        <v>-2.0000000000000002E-5</v>
      </c>
      <c r="AO20" s="14">
        <f t="shared" si="1"/>
        <v>-2.0000000000000002E-5</v>
      </c>
    </row>
    <row r="21" spans="1:41" ht="21" customHeight="1" x14ac:dyDescent="0.25">
      <c r="B21" s="10"/>
      <c r="C21" s="116">
        <v>6</v>
      </c>
      <c r="D21" s="116"/>
      <c r="E21" s="116"/>
      <c r="F21" s="107"/>
      <c r="G21" s="108"/>
      <c r="H21" s="108"/>
      <c r="I21" s="108"/>
      <c r="J21" s="108"/>
      <c r="K21" s="108"/>
      <c r="L21" s="108"/>
      <c r="M21" s="108"/>
      <c r="N21" s="112"/>
      <c r="O21" s="113"/>
      <c r="P21" s="114"/>
      <c r="Q21" s="103" t="str">
        <f>IF(N21="","",IF($H$7&lt;=60,INDEX(Einzelwertung!$D$4:$D$9,MATCH(F21,Einzelwertung!$B$4:$B$9,0)),IF($H$7&lt;=66,INDEX(Einzelwertung!$D$24:$D$29,MATCH(F21,Einzelwertung!$B$24:$B$29,0)),IF($H$7&gt;66,INDEX(Einzelwertung!$D$44:$D$49,MATCH(F21,Einzelwertung!$B$44:$B$49,0))))))</f>
        <v/>
      </c>
      <c r="R21" s="104"/>
      <c r="S21" s="105"/>
      <c r="T21" s="10"/>
      <c r="U21" s="106">
        <v>6</v>
      </c>
      <c r="V21" s="106"/>
      <c r="W21" s="106"/>
      <c r="X21" s="107"/>
      <c r="Y21" s="108"/>
      <c r="Z21" s="108"/>
      <c r="AA21" s="108"/>
      <c r="AB21" s="108"/>
      <c r="AC21" s="108"/>
      <c r="AD21" s="108"/>
      <c r="AE21" s="108"/>
      <c r="AF21" s="112"/>
      <c r="AG21" s="113"/>
      <c r="AH21" s="114"/>
      <c r="AI21" s="103" t="str">
        <f>IF(AF21="","",IF($H$7&lt;=60,INDEX(Einzelwertung!$H$4:$H$9,MATCH(X21,Einzelwertung!$F$4:$F$9,0)),IF($H$7&lt;=66,INDEX(Einzelwertung!$H$24:$H$29,MATCH(X21,Einzelwertung!$F$24:$F$29,0)),IF($H$7&gt;66,INDEX(Einzelwertung!$H$44:$H$49,MATCH(X21,Einzelwertung!$F$44:$F$49,0))))))</f>
        <v/>
      </c>
      <c r="AJ21" s="104"/>
      <c r="AK21" s="105"/>
      <c r="AL21" s="58"/>
      <c r="AN21" s="14">
        <f t="shared" si="0"/>
        <v>-2.0999999999999999E-5</v>
      </c>
      <c r="AO21" s="14">
        <f t="shared" si="1"/>
        <v>-2.0999999999999999E-5</v>
      </c>
    </row>
    <row r="22" spans="1:41" ht="21" customHeight="1" x14ac:dyDescent="0.25">
      <c r="B22" s="10"/>
      <c r="C22" s="109" t="str">
        <f>IF(F22="","AW","AW ab")</f>
        <v>AW</v>
      </c>
      <c r="D22" s="110"/>
      <c r="E22" s="111"/>
      <c r="F22" s="107"/>
      <c r="G22" s="108"/>
      <c r="H22" s="108"/>
      <c r="I22" s="108"/>
      <c r="J22" s="108"/>
      <c r="K22" s="108"/>
      <c r="L22" s="108"/>
      <c r="M22" s="115"/>
      <c r="N22" s="10"/>
      <c r="O22" s="10"/>
      <c r="P22" s="10"/>
      <c r="Q22" s="10"/>
      <c r="R22" s="10"/>
      <c r="S22" s="10"/>
      <c r="T22" s="10"/>
      <c r="U22" s="109" t="str">
        <f>IF(X22="","AW","AW ab")</f>
        <v>AW</v>
      </c>
      <c r="V22" s="110"/>
      <c r="W22" s="111"/>
      <c r="X22" s="107"/>
      <c r="Y22" s="108"/>
      <c r="Z22" s="108"/>
      <c r="AA22" s="108"/>
      <c r="AB22" s="108"/>
      <c r="AC22" s="108"/>
      <c r="AD22" s="108"/>
      <c r="AE22" s="115"/>
      <c r="AF22" s="10"/>
      <c r="AG22" s="10"/>
      <c r="AH22" s="10"/>
      <c r="AI22" s="10"/>
      <c r="AJ22" s="10"/>
      <c r="AK22" s="10"/>
      <c r="AL22" s="58"/>
    </row>
    <row r="23" spans="1:41" ht="10.5" customHeight="1" x14ac:dyDescent="0.25">
      <c r="B23" s="10"/>
      <c r="C23" s="147"/>
      <c r="D23" s="148"/>
      <c r="E23" s="149"/>
      <c r="F23" s="34"/>
      <c r="G23" s="34"/>
      <c r="H23" s="34"/>
      <c r="I23" s="34"/>
      <c r="J23" s="135" t="s">
        <v>41</v>
      </c>
      <c r="K23" s="135"/>
      <c r="L23" s="135"/>
      <c r="M23" s="135"/>
      <c r="N23" s="137">
        <f>IF(AND(AF25&gt;4,N25=0),"0",IF(AND(COUNTIF(N16:N21,"&gt;0")=6,H7&lt;=66),SUM(N16:N21)-MIN(N16:N21),SUM(N16:N21)))</f>
        <v>0</v>
      </c>
      <c r="O23" s="138"/>
      <c r="P23" s="139"/>
      <c r="Q23" s="137">
        <f>IF(AND(AF23="0",N25&gt;4,H7&gt;66),57,IF(AND(AI25=57,H7&gt;66),"0",IF(AND(AF23="0",N25&gt;4,H7&lt;67),40,IF(AND(AI25=40,H7&lt;67),"0",SUM(Q16:Q21)))))</f>
        <v>0</v>
      </c>
      <c r="R23" s="138"/>
      <c r="S23" s="139"/>
      <c r="T23" s="10"/>
      <c r="U23" s="147"/>
      <c r="V23" s="148"/>
      <c r="W23" s="149"/>
      <c r="X23" s="10"/>
      <c r="Y23" s="10"/>
      <c r="Z23" s="10"/>
      <c r="AA23" s="10"/>
      <c r="AB23" s="135" t="s">
        <v>41</v>
      </c>
      <c r="AC23" s="135"/>
      <c r="AD23" s="135"/>
      <c r="AE23" s="135"/>
      <c r="AF23" s="137">
        <f>IF(AND(N25&gt;4,AF25=0),"0",IF(AND(COUNTIF(AF16:AF21,"&gt;0")=6,H7&lt;=66),SUM(AF16:AF21)-MIN(AF16:AF21),SUM(AF16:AF21)))</f>
        <v>0</v>
      </c>
      <c r="AG23" s="138"/>
      <c r="AH23" s="139"/>
      <c r="AI23" s="137">
        <f>IF(AND(N23="0",AF25&gt;4,H7&gt;66),57,IF(AND(Q25=57,H7&gt;66),"0",IF(AND(N23="0",AF25&gt;4,H7&lt;67),40,IF(AND(Q25=40,H7&lt;67),"0",SUM(AI16:AI21)))))</f>
        <v>0</v>
      </c>
      <c r="AJ23" s="138"/>
      <c r="AK23" s="139"/>
      <c r="AL23" s="58"/>
    </row>
    <row r="24" spans="1:41" ht="10.5" customHeight="1" x14ac:dyDescent="0.25">
      <c r="B24" s="10"/>
      <c r="C24" s="117"/>
      <c r="D24" s="118"/>
      <c r="E24" s="119"/>
      <c r="F24" s="10"/>
      <c r="G24" s="10"/>
      <c r="H24" s="10"/>
      <c r="I24" s="10"/>
      <c r="J24" s="136"/>
      <c r="K24" s="136"/>
      <c r="L24" s="136"/>
      <c r="M24" s="136"/>
      <c r="N24" s="140"/>
      <c r="O24" s="141"/>
      <c r="P24" s="142"/>
      <c r="Q24" s="140"/>
      <c r="R24" s="141"/>
      <c r="S24" s="142"/>
      <c r="T24" s="10"/>
      <c r="U24" s="117"/>
      <c r="V24" s="118"/>
      <c r="W24" s="119"/>
      <c r="X24" s="10"/>
      <c r="Y24" s="10"/>
      <c r="Z24" s="10"/>
      <c r="AA24" s="10"/>
      <c r="AB24" s="136"/>
      <c r="AC24" s="136"/>
      <c r="AD24" s="136"/>
      <c r="AE24" s="136"/>
      <c r="AF24" s="140"/>
      <c r="AG24" s="141"/>
      <c r="AH24" s="142"/>
      <c r="AI24" s="140"/>
      <c r="AJ24" s="141"/>
      <c r="AK24" s="142"/>
      <c r="AL24" s="58"/>
    </row>
    <row r="25" spans="1:41" ht="21.95" customHeight="1" x14ac:dyDescent="0.2">
      <c r="B25" s="10"/>
      <c r="C25" s="10"/>
      <c r="D25" s="10"/>
      <c r="E25" s="10"/>
      <c r="F25" s="10"/>
      <c r="G25" s="10"/>
      <c r="H25" s="10"/>
      <c r="I25" s="10"/>
      <c r="J25" s="10"/>
      <c r="K25" s="10"/>
      <c r="L25" s="10"/>
      <c r="M25" s="10"/>
      <c r="N25" s="150">
        <f>COUNTIF(N16:N21,"&gt;0")</f>
        <v>0</v>
      </c>
      <c r="O25" s="150"/>
      <c r="P25" s="150"/>
      <c r="Q25" s="151">
        <f>IF(AND(AF23="0",N25&gt;4,H7&gt;66),57,IF(AND(AF23="0",N25&gt;4,H7&lt;67),40,0))</f>
        <v>0</v>
      </c>
      <c r="R25" s="151"/>
      <c r="S25" s="151"/>
      <c r="T25" s="10"/>
      <c r="U25" s="10"/>
      <c r="V25" s="10"/>
      <c r="W25" s="10"/>
      <c r="X25" s="10"/>
      <c r="Y25" s="10"/>
      <c r="Z25" s="10"/>
      <c r="AA25" s="10"/>
      <c r="AB25" s="10"/>
      <c r="AC25" s="10"/>
      <c r="AD25" s="10"/>
      <c r="AE25" s="10"/>
      <c r="AF25" s="150">
        <f>COUNTIF(AF16:AF21,"&gt;0")</f>
        <v>0</v>
      </c>
      <c r="AG25" s="150"/>
      <c r="AH25" s="150"/>
      <c r="AI25" s="150">
        <f>IF(AND(N23="0",AF25&gt;4,H7&gt;66),57,IF(AND(N23="0",AF25&gt;4,H7&lt;67),40,0))</f>
        <v>0</v>
      </c>
      <c r="AJ25" s="150"/>
      <c r="AK25" s="150"/>
      <c r="AL25" s="10"/>
    </row>
    <row r="26" spans="1:41" ht="21" customHeight="1" x14ac:dyDescent="0.25">
      <c r="B26" s="10"/>
      <c r="C26" s="25" t="s">
        <v>42</v>
      </c>
      <c r="D26" s="25"/>
      <c r="E26" s="10"/>
      <c r="F26" s="10"/>
      <c r="G26" s="10"/>
      <c r="H26" s="10"/>
      <c r="I26" s="10"/>
      <c r="J26" s="10"/>
      <c r="K26" s="10"/>
      <c r="L26" s="10"/>
      <c r="M26" s="10"/>
      <c r="N26" s="10"/>
      <c r="O26" s="10"/>
      <c r="P26" s="10"/>
      <c r="Q26" s="143">
        <f>IF(H7&lt;=60,Einzelwertung!D12,IF(H7&lt;=66,Einzelwertung!D32,Einzelwertung!D52))</f>
        <v>0</v>
      </c>
      <c r="R26" s="144"/>
      <c r="S26" s="144"/>
      <c r="T26" s="35" t="s">
        <v>43</v>
      </c>
      <c r="U26" s="145">
        <f>IF(H7&lt;=60,Einzelwertung!H12,IF(H7&lt;=66,Einzelwertung!H32,Einzelwertung!H52))</f>
        <v>0</v>
      </c>
      <c r="V26" s="145"/>
      <c r="W26" s="146"/>
      <c r="X26" s="10"/>
      <c r="Y26" s="10"/>
      <c r="Z26" s="10"/>
      <c r="AA26" s="10"/>
      <c r="AB26" s="10"/>
      <c r="AC26" s="10"/>
      <c r="AD26" s="10"/>
      <c r="AE26" s="10"/>
      <c r="AF26" s="10"/>
      <c r="AG26" s="10"/>
      <c r="AH26" s="10"/>
      <c r="AI26" s="10"/>
      <c r="AJ26" s="10"/>
      <c r="AK26" s="10"/>
      <c r="AL26" s="10"/>
    </row>
    <row r="27" spans="1:41" ht="12.95" customHeight="1" x14ac:dyDescent="0.2">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8" spans="1:41" ht="12.95" customHeight="1" x14ac:dyDescent="0.2">
      <c r="B28" s="10"/>
      <c r="C28" s="36" t="s">
        <v>103</v>
      </c>
      <c r="D28" s="37"/>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c r="AL28" s="10"/>
    </row>
    <row r="29" spans="1:41" ht="12.95" customHeight="1" x14ac:dyDescent="0.2">
      <c r="B29" s="10"/>
      <c r="C29" s="129"/>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1"/>
      <c r="AL29" s="10"/>
    </row>
    <row r="30" spans="1:41" ht="12.95" customHeight="1" x14ac:dyDescent="0.2">
      <c r="B30" s="10"/>
      <c r="C30" s="129"/>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1"/>
      <c r="AL30" s="10"/>
    </row>
    <row r="31" spans="1:41" ht="15" customHeight="1" x14ac:dyDescent="0.2">
      <c r="B31" s="10"/>
      <c r="C31" s="40" t="s">
        <v>104</v>
      </c>
      <c r="D31" s="41"/>
      <c r="E31" s="42"/>
      <c r="F31" s="42"/>
      <c r="G31" s="42"/>
      <c r="H31" s="42"/>
      <c r="I31" s="42"/>
      <c r="J31" s="42"/>
      <c r="K31" s="42"/>
      <c r="L31" s="42"/>
      <c r="M31" s="42"/>
      <c r="N31" s="42"/>
      <c r="O31" s="42"/>
      <c r="P31" s="42"/>
      <c r="Q31" s="42"/>
      <c r="R31" s="42"/>
      <c r="S31" s="42"/>
      <c r="T31" s="43"/>
      <c r="U31" s="100" t="str">
        <f>IF(AND(H7&gt;0,H7&lt;=66),C13,"Heimmannschaft")</f>
        <v>Heimmannschaft</v>
      </c>
      <c r="V31" s="101"/>
      <c r="W31" s="101"/>
      <c r="X31" s="101"/>
      <c r="Y31" s="101"/>
      <c r="Z31" s="101"/>
      <c r="AA31" s="101"/>
      <c r="AB31" s="102"/>
      <c r="AC31" s="43"/>
      <c r="AD31" s="100" t="str">
        <f>IF(AND(H7&gt;0,H7&lt;=66),W13,"Gastmannschaft")</f>
        <v>Gastmannschaft</v>
      </c>
      <c r="AE31" s="101"/>
      <c r="AF31" s="101"/>
      <c r="AG31" s="101"/>
      <c r="AH31" s="101"/>
      <c r="AI31" s="101"/>
      <c r="AJ31" s="101"/>
      <c r="AK31" s="102"/>
      <c r="AL31" s="10"/>
    </row>
    <row r="32" spans="1:41" s="17" customFormat="1" ht="18" customHeight="1" x14ac:dyDescent="0.2">
      <c r="A32" s="16"/>
      <c r="B32" s="11"/>
      <c r="C32" s="44" t="s">
        <v>105</v>
      </c>
      <c r="D32" s="44"/>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1"/>
      <c r="AM32" s="16"/>
      <c r="AN32" s="16"/>
      <c r="AO32" s="16"/>
    </row>
    <row r="33" spans="2:39" ht="15" customHeight="1" x14ac:dyDescent="0.2">
      <c r="B33" s="10"/>
      <c r="C33" s="45" t="str">
        <f>IF(AND(H7&gt;0,H7&lt;=66),C13,"Heimmannschaft")</f>
        <v>Heimmannschaft</v>
      </c>
      <c r="D33" s="45"/>
      <c r="E33" s="10"/>
      <c r="F33" s="10"/>
      <c r="G33" s="10"/>
      <c r="H33" s="10"/>
      <c r="I33" s="10"/>
      <c r="J33" s="10"/>
      <c r="K33" s="10"/>
      <c r="L33" s="10"/>
      <c r="M33" s="10"/>
      <c r="N33" s="45">
        <f>IF(AND(H7&gt;0,H7&lt;=66),"",C13)</f>
        <v>0</v>
      </c>
      <c r="O33" s="10"/>
      <c r="P33" s="10"/>
      <c r="Q33" s="10"/>
      <c r="R33" s="10"/>
      <c r="S33" s="10"/>
      <c r="T33" s="10"/>
      <c r="U33" s="10"/>
      <c r="V33" s="10"/>
      <c r="W33" s="10"/>
      <c r="X33" s="10"/>
      <c r="Y33" s="10"/>
      <c r="Z33" s="10"/>
      <c r="AA33" s="10"/>
      <c r="AB33" s="42"/>
      <c r="AC33" s="46"/>
      <c r="AD33" s="10"/>
      <c r="AE33" s="42"/>
      <c r="AF33" s="10"/>
      <c r="AG33" s="10"/>
      <c r="AH33" s="10"/>
      <c r="AI33" s="10"/>
      <c r="AJ33" s="10"/>
      <c r="AK33" s="10"/>
      <c r="AL33" s="10"/>
    </row>
    <row r="34" spans="2:39" ht="12.75" customHeight="1" x14ac:dyDescent="0.2">
      <c r="B34" s="10"/>
      <c r="C34" s="132"/>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4"/>
      <c r="AL34" s="10"/>
    </row>
    <row r="35" spans="2:39" ht="12.75" customHeight="1" x14ac:dyDescent="0.2">
      <c r="B35" s="10"/>
      <c r="C35" s="120"/>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2"/>
      <c r="AL35" s="10"/>
    </row>
    <row r="36" spans="2:39" s="14" customFormat="1" ht="12.75" customHeight="1" x14ac:dyDescent="0.2">
      <c r="B36" s="10"/>
      <c r="C36" s="123"/>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5"/>
      <c r="AL36" s="10"/>
    </row>
    <row r="37" spans="2:39" s="14" customFormat="1" ht="18" customHeight="1" x14ac:dyDescent="0.2">
      <c r="B37" s="10"/>
      <c r="C37" s="45" t="str">
        <f>IF(AND(H7&gt;0,H7&lt;=66),W13,"Gastmannschaft")</f>
        <v>Gastmannschaft</v>
      </c>
      <c r="D37" s="45"/>
      <c r="E37" s="10"/>
      <c r="F37" s="10"/>
      <c r="G37" s="10"/>
      <c r="H37" s="10"/>
      <c r="I37" s="10"/>
      <c r="J37" s="10"/>
      <c r="K37" s="10"/>
      <c r="L37" s="10"/>
      <c r="M37" s="10"/>
      <c r="N37" s="45">
        <f>IF(AND(H7&gt;0,H7&lt;=66),"",W13)</f>
        <v>0</v>
      </c>
      <c r="O37" s="10"/>
      <c r="P37" s="10"/>
      <c r="Q37" s="10"/>
      <c r="R37" s="10"/>
      <c r="S37" s="10"/>
      <c r="T37" s="10"/>
      <c r="U37" s="10"/>
      <c r="V37" s="10"/>
      <c r="W37" s="10"/>
      <c r="X37" s="10"/>
      <c r="Y37" s="10"/>
      <c r="Z37" s="10"/>
      <c r="AA37" s="10"/>
      <c r="AB37" s="42"/>
      <c r="AC37" s="46"/>
      <c r="AD37" s="10"/>
      <c r="AE37" s="42"/>
      <c r="AF37" s="10"/>
      <c r="AG37" s="10"/>
      <c r="AH37" s="10"/>
      <c r="AI37" s="10"/>
      <c r="AJ37" s="10"/>
      <c r="AK37" s="10"/>
      <c r="AL37" s="11"/>
    </row>
    <row r="38" spans="2:39" s="14" customFormat="1" ht="12.75" customHeight="1" x14ac:dyDescent="0.2">
      <c r="B38" s="10"/>
      <c r="C38" s="132"/>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4"/>
      <c r="AL38" s="11"/>
    </row>
    <row r="39" spans="2:39" s="14" customFormat="1" ht="12.75" customHeight="1" x14ac:dyDescent="0.2">
      <c r="B39" s="10"/>
      <c r="C39" s="120"/>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2"/>
      <c r="AL39" s="10"/>
    </row>
    <row r="40" spans="2:39" s="14" customFormat="1" ht="12.75" customHeight="1" x14ac:dyDescent="0.2">
      <c r="B40" s="10"/>
      <c r="C40" s="123"/>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5"/>
      <c r="AL40" s="10"/>
      <c r="AM40" s="18"/>
    </row>
    <row r="41" spans="2:39" s="14" customFormat="1" ht="9.9499999999999993" customHeight="1" x14ac:dyDescent="0.2">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8"/>
    </row>
    <row r="42" spans="2:39" s="14" customFormat="1" ht="15" customHeight="1" x14ac:dyDescent="0.2">
      <c r="B42" s="10"/>
      <c r="C42" s="47" t="s">
        <v>44</v>
      </c>
      <c r="D42" s="47"/>
      <c r="E42" s="10"/>
      <c r="F42" s="10"/>
      <c r="G42" s="10"/>
      <c r="H42" s="10"/>
      <c r="I42" s="10"/>
      <c r="J42" s="10"/>
      <c r="K42" s="10"/>
      <c r="L42" s="10"/>
      <c r="M42" s="10"/>
      <c r="N42" s="10"/>
      <c r="O42" s="10"/>
      <c r="P42" s="10"/>
      <c r="Q42" s="10"/>
      <c r="R42" s="28" t="str">
        <f>IF(U42="X","","X")</f>
        <v/>
      </c>
      <c r="S42" s="48" t="s">
        <v>94</v>
      </c>
      <c r="T42" s="48"/>
      <c r="U42" s="43" t="s">
        <v>99</v>
      </c>
      <c r="V42" s="48" t="s">
        <v>96</v>
      </c>
      <c r="W42" s="48"/>
      <c r="X42" s="10"/>
      <c r="Y42" s="10"/>
      <c r="Z42" s="10"/>
      <c r="AA42" s="10"/>
      <c r="AB42" s="10"/>
      <c r="AC42" s="10"/>
      <c r="AD42" s="10"/>
      <c r="AE42" s="10"/>
      <c r="AF42" s="49" t="s">
        <v>98</v>
      </c>
      <c r="AG42" s="126" t="s">
        <v>45</v>
      </c>
      <c r="AH42" s="127"/>
      <c r="AI42" s="127"/>
      <c r="AJ42" s="127"/>
      <c r="AK42" s="128"/>
      <c r="AL42" s="10"/>
      <c r="AM42" s="18"/>
    </row>
    <row r="43" spans="2:39" s="14" customFormat="1" ht="6" customHeight="1" x14ac:dyDescent="0.2">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8"/>
    </row>
    <row r="44" spans="2:39" s="14" customFormat="1" ht="15" customHeight="1" x14ac:dyDescent="0.2">
      <c r="B44" s="10"/>
      <c r="C44" s="47" t="s">
        <v>95</v>
      </c>
      <c r="D44" s="47"/>
      <c r="E44" s="10"/>
      <c r="F44" s="10"/>
      <c r="G44" s="10"/>
      <c r="H44" s="10"/>
      <c r="I44" s="10"/>
      <c r="J44" s="10"/>
      <c r="K44" s="10"/>
      <c r="L44" s="10"/>
      <c r="M44" s="10"/>
      <c r="N44" s="10"/>
      <c r="O44" s="10"/>
      <c r="P44" s="10"/>
      <c r="Q44" s="10"/>
      <c r="R44" s="43" t="s">
        <v>99</v>
      </c>
      <c r="S44" s="48" t="s">
        <v>94</v>
      </c>
      <c r="T44" s="48"/>
      <c r="U44" s="28" t="str">
        <f>IF(R44="X","","X")</f>
        <v/>
      </c>
      <c r="V44" s="48" t="s">
        <v>96</v>
      </c>
      <c r="W44" s="34"/>
      <c r="X44" s="10"/>
      <c r="Y44" s="10"/>
      <c r="Z44" s="10"/>
      <c r="AA44" s="10"/>
      <c r="AB44" s="10"/>
      <c r="AC44" s="10"/>
      <c r="AD44" s="10"/>
      <c r="AE44" s="10"/>
      <c r="AF44" s="10"/>
      <c r="AG44" s="10"/>
      <c r="AH44" s="10"/>
      <c r="AI44" s="10"/>
      <c r="AJ44" s="10"/>
      <c r="AK44" s="10"/>
      <c r="AL44" s="10"/>
      <c r="AM44" s="18"/>
    </row>
    <row r="45" spans="2:39" s="14" customFormat="1" ht="6" customHeight="1" x14ac:dyDescent="0.25">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59"/>
      <c r="AM45" s="18"/>
    </row>
    <row r="46" spans="2:39" s="14" customFormat="1" ht="15" customHeight="1" x14ac:dyDescent="0.2">
      <c r="B46" s="10"/>
      <c r="C46" s="47" t="s">
        <v>108</v>
      </c>
      <c r="D46" s="47"/>
      <c r="E46" s="47"/>
      <c r="F46" s="47"/>
      <c r="G46" s="47"/>
      <c r="H46" s="47"/>
      <c r="I46" s="47"/>
      <c r="J46" s="47"/>
      <c r="K46" s="47"/>
      <c r="L46" s="47"/>
      <c r="M46" s="47"/>
      <c r="N46" s="47"/>
      <c r="O46" s="47"/>
      <c r="P46" s="47"/>
      <c r="Q46" s="50"/>
      <c r="R46" s="43" t="s">
        <v>99</v>
      </c>
      <c r="S46" s="48" t="s">
        <v>94</v>
      </c>
      <c r="T46" s="48"/>
      <c r="U46" s="28" t="str">
        <f>IF(R46="X","","X")</f>
        <v/>
      </c>
      <c r="V46" s="48" t="s">
        <v>96</v>
      </c>
      <c r="W46" s="34"/>
      <c r="X46" s="10"/>
      <c r="Y46" s="10"/>
      <c r="Z46" s="10"/>
      <c r="AA46" s="10"/>
      <c r="AB46" s="10"/>
      <c r="AC46" s="10"/>
      <c r="AD46" s="10"/>
      <c r="AE46" s="10"/>
      <c r="AF46" s="10"/>
      <c r="AG46" s="10"/>
      <c r="AH46" s="10"/>
      <c r="AI46" s="10"/>
      <c r="AJ46" s="10"/>
      <c r="AK46" s="10"/>
      <c r="AL46" s="10"/>
      <c r="AM46" s="18"/>
    </row>
    <row r="47" spans="2:39" s="14" customFormat="1" ht="15" customHeight="1" x14ac:dyDescent="0.2">
      <c r="B47" s="10"/>
      <c r="C47" s="51" t="s">
        <v>107</v>
      </c>
      <c r="D47" s="51"/>
      <c r="E47" s="47"/>
      <c r="F47" s="47"/>
      <c r="G47" s="47"/>
      <c r="H47" s="47"/>
      <c r="I47" s="47"/>
      <c r="J47" s="47"/>
      <c r="K47" s="47"/>
      <c r="L47" s="47"/>
      <c r="M47" s="47"/>
      <c r="N47" s="47"/>
      <c r="O47" s="47"/>
      <c r="P47" s="47"/>
      <c r="Q47" s="50"/>
      <c r="R47" s="10"/>
      <c r="S47" s="10"/>
      <c r="T47" s="10"/>
      <c r="U47" s="10"/>
      <c r="V47" s="10"/>
      <c r="W47" s="10"/>
      <c r="X47" s="10"/>
      <c r="Y47" s="10"/>
      <c r="Z47" s="10"/>
      <c r="AA47" s="10"/>
      <c r="AB47" s="10"/>
      <c r="AC47" s="10"/>
      <c r="AD47" s="10"/>
      <c r="AE47" s="10"/>
      <c r="AF47" s="10"/>
      <c r="AG47" s="10"/>
      <c r="AH47" s="10"/>
      <c r="AI47" s="10"/>
      <c r="AJ47" s="10"/>
      <c r="AK47" s="10"/>
      <c r="AL47" s="10"/>
      <c r="AM47" s="18"/>
    </row>
    <row r="48" spans="2:39" s="14" customFormat="1" ht="9.9499999999999993" customHeight="1" x14ac:dyDescent="0.2">
      <c r="B48" s="10"/>
      <c r="C48" s="10"/>
      <c r="D48" s="10"/>
      <c r="E48" s="10"/>
      <c r="F48" s="10"/>
      <c r="G48" s="10"/>
      <c r="H48" s="10"/>
      <c r="I48" s="52" t="s">
        <v>61</v>
      </c>
      <c r="J48" s="10"/>
      <c r="K48" s="10"/>
      <c r="L48" s="10"/>
      <c r="M48" s="10"/>
      <c r="N48" s="10"/>
      <c r="O48" s="10"/>
      <c r="P48" s="10"/>
      <c r="Q48" s="10"/>
      <c r="R48" s="10"/>
      <c r="S48" s="52" t="s">
        <v>100</v>
      </c>
      <c r="T48" s="10"/>
      <c r="U48" s="10"/>
      <c r="V48" s="10"/>
      <c r="W48" s="10"/>
      <c r="X48" s="10"/>
      <c r="Y48" s="10"/>
      <c r="Z48" s="10"/>
      <c r="AA48" s="10"/>
      <c r="AB48" s="10"/>
      <c r="AC48" s="52" t="s">
        <v>62</v>
      </c>
      <c r="AD48" s="10"/>
      <c r="AE48" s="10"/>
      <c r="AF48" s="10"/>
      <c r="AG48" s="10"/>
      <c r="AH48" s="10"/>
      <c r="AI48" s="10"/>
      <c r="AJ48" s="10"/>
      <c r="AK48" s="10"/>
      <c r="AL48" s="10"/>
      <c r="AM48" s="18"/>
    </row>
    <row r="49" spans="2:40" s="14" customFormat="1" ht="15" customHeight="1" x14ac:dyDescent="0.2">
      <c r="B49" s="10"/>
      <c r="C49" s="53" t="s">
        <v>46</v>
      </c>
      <c r="D49" s="53"/>
      <c r="E49" s="10"/>
      <c r="F49" s="10"/>
      <c r="G49" s="10"/>
      <c r="H49" s="10"/>
      <c r="I49" s="177"/>
      <c r="J49" s="178"/>
      <c r="K49" s="178"/>
      <c r="L49" s="178"/>
      <c r="M49" s="178"/>
      <c r="N49" s="178"/>
      <c r="O49" s="178"/>
      <c r="P49" s="178"/>
      <c r="Q49" s="179"/>
      <c r="R49" s="10"/>
      <c r="S49" s="177"/>
      <c r="T49" s="178"/>
      <c r="U49" s="178"/>
      <c r="V49" s="178"/>
      <c r="W49" s="178"/>
      <c r="X49" s="178"/>
      <c r="Y49" s="178"/>
      <c r="Z49" s="178"/>
      <c r="AA49" s="179"/>
      <c r="AB49" s="10"/>
      <c r="AC49" s="177"/>
      <c r="AD49" s="178"/>
      <c r="AE49" s="178"/>
      <c r="AF49" s="178"/>
      <c r="AG49" s="178"/>
      <c r="AH49" s="178"/>
      <c r="AI49" s="178"/>
      <c r="AJ49" s="178"/>
      <c r="AK49" s="179"/>
      <c r="AL49" s="10"/>
      <c r="AM49" s="18"/>
    </row>
    <row r="50" spans="2:40" s="14" customFormat="1" ht="12.75" customHeight="1" x14ac:dyDescent="0.2">
      <c r="B50" s="10"/>
      <c r="C50" s="10"/>
      <c r="D50" s="10"/>
      <c r="E50" s="10"/>
      <c r="F50" s="10"/>
      <c r="G50" s="10"/>
      <c r="H50" s="10"/>
      <c r="I50" s="52" t="s">
        <v>61</v>
      </c>
      <c r="J50" s="10"/>
      <c r="K50" s="10"/>
      <c r="L50" s="10"/>
      <c r="M50" s="10"/>
      <c r="N50" s="10"/>
      <c r="O50" s="10"/>
      <c r="P50" s="10"/>
      <c r="Q50" s="10"/>
      <c r="R50" s="10"/>
      <c r="S50" s="52" t="s">
        <v>100</v>
      </c>
      <c r="T50" s="10"/>
      <c r="U50" s="10"/>
      <c r="V50" s="10"/>
      <c r="W50" s="10"/>
      <c r="X50" s="10"/>
      <c r="Y50" s="10"/>
      <c r="Z50" s="10"/>
      <c r="AA50" s="10"/>
      <c r="AB50" s="10"/>
      <c r="AC50" s="52" t="s">
        <v>62</v>
      </c>
      <c r="AD50" s="10"/>
      <c r="AE50" s="10"/>
      <c r="AF50" s="10"/>
      <c r="AG50" s="10"/>
      <c r="AH50" s="10"/>
      <c r="AI50" s="10"/>
      <c r="AJ50" s="10"/>
      <c r="AK50" s="10"/>
      <c r="AL50" s="10"/>
      <c r="AM50" s="18"/>
    </row>
    <row r="51" spans="2:40" s="14" customFormat="1" ht="15" customHeight="1" x14ac:dyDescent="0.2">
      <c r="B51" s="10"/>
      <c r="C51" s="53" t="s">
        <v>60</v>
      </c>
      <c r="D51" s="53"/>
      <c r="E51" s="10"/>
      <c r="F51" s="10"/>
      <c r="G51" s="10"/>
      <c r="H51" s="10"/>
      <c r="I51" s="180"/>
      <c r="J51" s="181"/>
      <c r="K51" s="181"/>
      <c r="L51" s="181"/>
      <c r="M51" s="181"/>
      <c r="N51" s="181"/>
      <c r="O51" s="181"/>
      <c r="P51" s="181"/>
      <c r="Q51" s="182"/>
      <c r="R51" s="10"/>
      <c r="S51" s="183"/>
      <c r="T51" s="184"/>
      <c r="U51" s="184"/>
      <c r="V51" s="184"/>
      <c r="W51" s="184"/>
      <c r="X51" s="184"/>
      <c r="Y51" s="184"/>
      <c r="Z51" s="184"/>
      <c r="AA51" s="185"/>
      <c r="AB51" s="10"/>
      <c r="AC51" s="183"/>
      <c r="AD51" s="184"/>
      <c r="AE51" s="184"/>
      <c r="AF51" s="184"/>
      <c r="AG51" s="184"/>
      <c r="AH51" s="184"/>
      <c r="AI51" s="184"/>
      <c r="AJ51" s="184"/>
      <c r="AK51" s="185"/>
      <c r="AL51" s="10"/>
      <c r="AM51" s="19"/>
    </row>
    <row r="52" spans="2:40" s="14" customFormat="1" ht="9.9499999999999993" customHeight="1" x14ac:dyDescent="0.2">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row>
    <row r="53" spans="2:40" s="14" customFormat="1" ht="12" customHeight="1" x14ac:dyDescent="0.2">
      <c r="B53" s="10"/>
      <c r="C53" s="176" t="s">
        <v>115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0"/>
    </row>
    <row r="54" spans="2:40" s="14" customFormat="1" ht="12" customHeight="1" x14ac:dyDescent="0.2">
      <c r="B54" s="10"/>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0"/>
    </row>
    <row r="55" spans="2:40" s="14" customFormat="1" ht="12.75" customHeight="1" x14ac:dyDescent="0.2">
      <c r="B55" s="10"/>
      <c r="C55" s="54" t="s">
        <v>47</v>
      </c>
      <c r="D55" s="54"/>
      <c r="E55" s="5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2:40" s="14" customFormat="1" ht="12" customHeight="1" x14ac:dyDescent="0.2">
      <c r="B56" s="10"/>
      <c r="C56" s="55" t="s">
        <v>101</v>
      </c>
      <c r="D56" s="54" t="s">
        <v>106</v>
      </c>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10"/>
    </row>
    <row r="57" spans="2:40" s="14" customFormat="1" ht="12" customHeight="1" x14ac:dyDescent="0.2">
      <c r="B57" s="10"/>
      <c r="C57" s="54" t="s">
        <v>102</v>
      </c>
      <c r="D57" s="176" t="s">
        <v>109</v>
      </c>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60"/>
    </row>
    <row r="58" spans="2:40" s="14" customFormat="1" ht="12" customHeight="1" x14ac:dyDescent="0.2">
      <c r="B58" s="10"/>
      <c r="C58" s="54"/>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60"/>
    </row>
    <row r="59" spans="2:40" s="14" customFormat="1" ht="13.5" customHeight="1" x14ac:dyDescent="0.2">
      <c r="B59" s="10"/>
      <c r="C59" s="10"/>
      <c r="D59" s="10"/>
      <c r="E59" s="10"/>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0"/>
      <c r="AN59" s="14" t="s">
        <v>99</v>
      </c>
    </row>
    <row r="60" spans="2:40" s="14" customFormat="1" ht="12.75" customHeight="1" x14ac:dyDescent="0.2"/>
    <row r="61" spans="2:40" s="14" customFormat="1" ht="12.75" customHeight="1" x14ac:dyDescent="0.2">
      <c r="AN61" s="20" t="s">
        <v>45</v>
      </c>
    </row>
    <row r="62" spans="2:40" s="14" customFormat="1" ht="12.75" customHeight="1" x14ac:dyDescent="0.2">
      <c r="AN62" s="20" t="s">
        <v>48</v>
      </c>
    </row>
    <row r="63" spans="2:40" s="14" customFormat="1" ht="12.75" customHeight="1" x14ac:dyDescent="0.2">
      <c r="AN63" s="20" t="s">
        <v>49</v>
      </c>
    </row>
    <row r="64" spans="2:40" s="14" customFormat="1" ht="12.75" customHeight="1" x14ac:dyDescent="0.2">
      <c r="AN64" s="20" t="s">
        <v>50</v>
      </c>
    </row>
    <row r="65" spans="40:40" s="14" customFormat="1" ht="12.75" customHeight="1" x14ac:dyDescent="0.2">
      <c r="AN65" s="20" t="s">
        <v>51</v>
      </c>
    </row>
    <row r="66" spans="40:40" s="14" customFormat="1" ht="12.75" customHeight="1" x14ac:dyDescent="0.2">
      <c r="AN66" s="20" t="s">
        <v>52</v>
      </c>
    </row>
    <row r="67" spans="40:40" s="14" customFormat="1" ht="12.75" customHeight="1" x14ac:dyDescent="0.2">
      <c r="AN67" s="20" t="s">
        <v>53</v>
      </c>
    </row>
    <row r="68" spans="40:40" s="14" customFormat="1" ht="12.75" customHeight="1" x14ac:dyDescent="0.2">
      <c r="AN68" s="20" t="s">
        <v>54</v>
      </c>
    </row>
    <row r="69" spans="40:40" s="14" customFormat="1" ht="12.75" customHeight="1" x14ac:dyDescent="0.2">
      <c r="AN69" s="20" t="s">
        <v>77</v>
      </c>
    </row>
    <row r="70" spans="40:40" s="14" customFormat="1" x14ac:dyDescent="0.2">
      <c r="AN70" s="20" t="s">
        <v>55</v>
      </c>
    </row>
    <row r="71" spans="40:40" s="14" customFormat="1" x14ac:dyDescent="0.2">
      <c r="AN71" s="20" t="s">
        <v>56</v>
      </c>
    </row>
    <row r="72" spans="40:40" s="14" customFormat="1" x14ac:dyDescent="0.2">
      <c r="AN72" s="20" t="s">
        <v>110</v>
      </c>
    </row>
    <row r="73" spans="40:40" s="14" customFormat="1" x14ac:dyDescent="0.2">
      <c r="AN73" s="20" t="s">
        <v>57</v>
      </c>
    </row>
    <row r="74" spans="40:40" s="14" customFormat="1" x14ac:dyDescent="0.2">
      <c r="AN74" s="20" t="s">
        <v>58</v>
      </c>
    </row>
    <row r="75" spans="40:40" s="14" customFormat="1" x14ac:dyDescent="0.2">
      <c r="AN75" s="20" t="s">
        <v>59</v>
      </c>
    </row>
  </sheetData>
  <sheetProtection selectLockedCells="1"/>
  <mergeCells count="103">
    <mergeCell ref="C2:Z2"/>
    <mergeCell ref="C3:Z3"/>
    <mergeCell ref="S13:U13"/>
    <mergeCell ref="W13:AK13"/>
    <mergeCell ref="H7:J7"/>
    <mergeCell ref="H9:Q9"/>
    <mergeCell ref="H11:Z11"/>
    <mergeCell ref="C13:Q13"/>
    <mergeCell ref="D57:AK58"/>
    <mergeCell ref="I49:Q49"/>
    <mergeCell ref="S49:AA49"/>
    <mergeCell ref="AC49:AK49"/>
    <mergeCell ref="I51:Q51"/>
    <mergeCell ref="S51:AA51"/>
    <mergeCell ref="AC51:AK51"/>
    <mergeCell ref="C53:AK54"/>
    <mergeCell ref="AF15:AH15"/>
    <mergeCell ref="AI15:AK15"/>
    <mergeCell ref="C16:E16"/>
    <mergeCell ref="F16:M16"/>
    <mergeCell ref="N16:P16"/>
    <mergeCell ref="Q16:S16"/>
    <mergeCell ref="U16:W16"/>
    <mergeCell ref="X16:AE16"/>
    <mergeCell ref="AF16:AH16"/>
    <mergeCell ref="AI16:AK16"/>
    <mergeCell ref="C15:E15"/>
    <mergeCell ref="F15:M15"/>
    <mergeCell ref="N15:P15"/>
    <mergeCell ref="Q15:S15"/>
    <mergeCell ref="U15:W15"/>
    <mergeCell ref="X15:AE15"/>
    <mergeCell ref="AF17:AH17"/>
    <mergeCell ref="AI17:AK17"/>
    <mergeCell ref="C18:E18"/>
    <mergeCell ref="F18:M18"/>
    <mergeCell ref="N18:P18"/>
    <mergeCell ref="Q18:S18"/>
    <mergeCell ref="U18:W18"/>
    <mergeCell ref="X18:AE18"/>
    <mergeCell ref="AF18:AH18"/>
    <mergeCell ref="AI18:AK18"/>
    <mergeCell ref="C17:E17"/>
    <mergeCell ref="F17:M17"/>
    <mergeCell ref="N17:P17"/>
    <mergeCell ref="Q17:S17"/>
    <mergeCell ref="U17:W17"/>
    <mergeCell ref="X17:AE17"/>
    <mergeCell ref="AF19:AH19"/>
    <mergeCell ref="AI19:AK19"/>
    <mergeCell ref="C20:E20"/>
    <mergeCell ref="F20:M20"/>
    <mergeCell ref="N20:P20"/>
    <mergeCell ref="Q20:S20"/>
    <mergeCell ref="U20:W20"/>
    <mergeCell ref="X20:AE20"/>
    <mergeCell ref="AF20:AH20"/>
    <mergeCell ref="AI20:AK20"/>
    <mergeCell ref="C19:E19"/>
    <mergeCell ref="F19:M19"/>
    <mergeCell ref="N19:P19"/>
    <mergeCell ref="Q19:S19"/>
    <mergeCell ref="U19:W19"/>
    <mergeCell ref="X19:AE19"/>
    <mergeCell ref="C39:AK39"/>
    <mergeCell ref="C40:AK40"/>
    <mergeCell ref="AG42:AK42"/>
    <mergeCell ref="C29:AK29"/>
    <mergeCell ref="C30:AK30"/>
    <mergeCell ref="C34:AK34"/>
    <mergeCell ref="C35:AK35"/>
    <mergeCell ref="J23:M24"/>
    <mergeCell ref="N23:P24"/>
    <mergeCell ref="Q23:S24"/>
    <mergeCell ref="C36:AK36"/>
    <mergeCell ref="C38:AK38"/>
    <mergeCell ref="AF23:AH24"/>
    <mergeCell ref="AI23:AK24"/>
    <mergeCell ref="Q26:S26"/>
    <mergeCell ref="U26:W26"/>
    <mergeCell ref="C23:E23"/>
    <mergeCell ref="U23:W23"/>
    <mergeCell ref="AB23:AE24"/>
    <mergeCell ref="N25:P25"/>
    <mergeCell ref="AF25:AH25"/>
    <mergeCell ref="Q25:S25"/>
    <mergeCell ref="AI25:AK25"/>
    <mergeCell ref="U31:AB31"/>
    <mergeCell ref="AD31:AK31"/>
    <mergeCell ref="Q21:S21"/>
    <mergeCell ref="U21:W21"/>
    <mergeCell ref="X21:AE21"/>
    <mergeCell ref="U22:W22"/>
    <mergeCell ref="C22:E22"/>
    <mergeCell ref="AF21:AH21"/>
    <mergeCell ref="AI21:AK21"/>
    <mergeCell ref="F22:M22"/>
    <mergeCell ref="X22:AE22"/>
    <mergeCell ref="C21:E21"/>
    <mergeCell ref="F21:M21"/>
    <mergeCell ref="N21:P21"/>
    <mergeCell ref="C24:E24"/>
    <mergeCell ref="U24:W24"/>
  </mergeCells>
  <conditionalFormatting sqref="N16:P21">
    <cfRule type="expression" dxfId="3" priority="2">
      <formula>IF(AND(COUNTIF($N$16:$N$21,"&gt;0")=6,$H$7&lt;=66),$AN16=MIN($AN$16:$AN$21))</formula>
    </cfRule>
  </conditionalFormatting>
  <conditionalFormatting sqref="N23:S24 AF23:AK24 Q26:S26 U26:W26">
    <cfRule type="cellIs" dxfId="2" priority="4" operator="equal">
      <formula>0</formula>
    </cfRule>
  </conditionalFormatting>
  <conditionalFormatting sqref="Q16:S21 AI16:AK21">
    <cfRule type="cellIs" dxfId="1" priority="3" operator="equal">
      <formula>0</formula>
    </cfRule>
  </conditionalFormatting>
  <conditionalFormatting sqref="AF16:AH21">
    <cfRule type="expression" dxfId="0" priority="1">
      <formula>IF(AND(COUNTIF($AF$16:$AF$21,"&gt;0")=6,$H$7&lt;=66),$AO16=MIN($AO$16:$AO$21))</formula>
    </cfRule>
  </conditionalFormatting>
  <dataValidations count="6">
    <dataValidation type="list" allowBlank="1" showInputMessage="1" showErrorMessage="1" sqref="AG42:AK42">
      <formula1>Spielbahnen</formula1>
    </dataValidation>
    <dataValidation type="list" allowBlank="1" showInputMessage="1" sqref="T31 R46 U42 R44 AC31">
      <formula1>Auswahl</formula1>
    </dataValidation>
    <dataValidation allowBlank="1" showInputMessage="1" showErrorMessage="1" promptTitle="Auswechselung Spieler/Spielerin" prompt="_x000a_Hier bitte eintragen, ab welchem Wurf ausgewechselt wurde,_x000a_z.B. 61" sqref="U23:W23 C23:E23"/>
    <dataValidation allowBlank="1" sqref="R42"/>
    <dataValidation allowBlank="1" showInputMessage="1" sqref="U44 U46"/>
    <dataValidation operator="notBetween" allowBlank="1" showInputMessage="1" showErrorMessage="1" promptTitle="Auswechselung Spieler/Spielerin" prompt="_x000a_Hier die Startfolge-Nr. des ausgewechselten Spielers / der ausgewechelten Spielerin_x000a_eintragen, z.B. 4" sqref="C24:E24 U24:W24"/>
  </dataValidations>
  <printOptions horizontalCentered="1"/>
  <pageMargins left="0.51181102362204722" right="0.19685039370078741" top="0.11811023622047245" bottom="0" header="0" footer="0.15748031496062992"/>
  <pageSetup paperSize="9" firstPageNumber="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Erläuterungen</vt:lpstr>
      <vt:lpstr>Formular</vt:lpstr>
      <vt:lpstr>Auswahl</vt:lpstr>
      <vt:lpstr>Bundesliga_Herren</vt:lpstr>
      <vt:lpstr>Formular!Druckbereich</vt:lpstr>
      <vt:lpstr>Formular!Spielbahnen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dc:creator>
  <cp:lastModifiedBy>Christian Spyra</cp:lastModifiedBy>
  <cp:lastPrinted>2024-08-09T12:13:09Z</cp:lastPrinted>
  <dcterms:created xsi:type="dcterms:W3CDTF">2015-03-24T14:34:56Z</dcterms:created>
  <dcterms:modified xsi:type="dcterms:W3CDTF">2025-09-06T09:29:38Z</dcterms:modified>
</cp:coreProperties>
</file>